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11"/>
  <workbookPr codeName="ThisWorkbook" autoCompressPictures="0"/>
  <mc:AlternateContent xmlns:mc="http://schemas.openxmlformats.org/markup-compatibility/2006">
    <mc:Choice Requires="x15">
      <x15ac:absPath xmlns:x15ac="http://schemas.microsoft.com/office/spreadsheetml/2010/11/ac" url="/Users/ejulier/Library/Application Support/Box/Box Edit/Documents/1043499965175/"/>
    </mc:Choice>
  </mc:AlternateContent>
  <xr:revisionPtr revIDLastSave="11" documentId="13_ncr:1_{6BA557B8-2515-4543-B4D1-347B29F40037}" xr6:coauthVersionLast="47" xr6:coauthVersionMax="47" xr10:uidLastSave="{09B92DEF-658D-4CCF-AA0D-D4022D884D99}"/>
  <bookViews>
    <workbookView xWindow="34040" yWindow="1800" windowWidth="28800" windowHeight="18140" tabRatio="815" xr2:uid="{00000000-000D-0000-FFFF-FFFF00000000}"/>
  </bookViews>
  <sheets>
    <sheet name="Energy &amp; GHGs" sheetId="12" r:id="rId1"/>
    <sheet name="Supporting information" sheetId="13" r:id="rId2"/>
    <sheet name="Targets" sheetId="14" r:id="rId3"/>
    <sheet name="Pick lists" sheetId="11" r:id="rId4"/>
    <sheet name="Conversion factors" sheetId="15" r:id="rId5"/>
    <sheet name="Change log" sheetId="16" r:id="rId6"/>
  </sheets>
  <definedNames>
    <definedName name="_xlnm._FilterDatabase" localSheetId="0" hidden="1">'Energy &amp; GHGs'!$A$12:$M$122</definedName>
    <definedName name="_xlnm.Print_Area" localSheetId="0">'Energy &amp; GHGs'!$A$1:$K$122</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9" i="12" l="1"/>
  <c r="G77" i="12"/>
  <c r="I84" i="12"/>
  <c r="E60" i="12"/>
  <c r="E59" i="12"/>
  <c r="G36" i="12"/>
  <c r="G35" i="12"/>
  <c r="G38" i="12" l="1"/>
  <c r="G34" i="12"/>
  <c r="L31" i="11"/>
  <c r="L30" i="11"/>
  <c r="L29" i="11"/>
  <c r="L28" i="11"/>
  <c r="L27" i="11"/>
  <c r="L26" i="11"/>
  <c r="L25" i="11"/>
  <c r="L24" i="11"/>
  <c r="L23" i="11"/>
  <c r="L22" i="11"/>
  <c r="L21" i="11"/>
  <c r="L20" i="11"/>
  <c r="L19" i="11"/>
  <c r="L18" i="11"/>
  <c r="L17" i="11"/>
  <c r="L16" i="11"/>
  <c r="L15" i="11"/>
  <c r="L14" i="11"/>
  <c r="L13" i="11"/>
  <c r="L12" i="11"/>
  <c r="L11" i="11"/>
  <c r="L10" i="11"/>
  <c r="L9" i="11"/>
  <c r="L8" i="11"/>
  <c r="L7" i="11"/>
  <c r="L6" i="11"/>
  <c r="L5" i="11"/>
  <c r="G54" i="12"/>
  <c r="G53" i="12"/>
  <c r="G52" i="12"/>
  <c r="G51" i="12"/>
  <c r="G50" i="12"/>
  <c r="E55" i="12"/>
  <c r="G55" i="12" s="1"/>
  <c r="E54" i="12"/>
  <c r="E53" i="12"/>
  <c r="E52" i="12"/>
  <c r="E51" i="12"/>
  <c r="H90" i="12" l="1"/>
  <c r="H89" i="12"/>
  <c r="H76" i="12"/>
  <c r="H75" i="12"/>
  <c r="H74" i="12"/>
  <c r="D76" i="12"/>
  <c r="E76" i="12" s="1"/>
  <c r="G76" i="12" s="1"/>
  <c r="D75" i="12"/>
  <c r="D74" i="12"/>
  <c r="E74" i="12" s="1"/>
  <c r="G74" i="12" s="1"/>
  <c r="C5" i="11"/>
  <c r="E24" i="11"/>
  <c r="E23" i="11"/>
  <c r="G36" i="11"/>
  <c r="E27" i="11"/>
  <c r="C8" i="11"/>
  <c r="D49" i="12"/>
  <c r="J84" i="12" s="1"/>
  <c r="K108" i="12" s="1"/>
  <c r="G84" i="12"/>
  <c r="U7" i="11"/>
  <c r="D115" i="12" s="1"/>
  <c r="W7" i="11"/>
  <c r="D117" i="12" s="1"/>
  <c r="V7" i="11"/>
  <c r="D116" i="12" s="1"/>
  <c r="C116" i="12"/>
  <c r="E43" i="12"/>
  <c r="C120" i="12" s="1"/>
  <c r="E95" i="12"/>
  <c r="J120" i="12" s="1"/>
  <c r="G78" i="12"/>
  <c r="E78" i="12"/>
  <c r="E75" i="12"/>
  <c r="G75" i="12"/>
  <c r="G69" i="12"/>
  <c r="G68" i="12"/>
  <c r="E68" i="12"/>
  <c r="E67" i="12"/>
  <c r="G67" i="12"/>
  <c r="D67" i="12"/>
  <c r="G66" i="12"/>
  <c r="E66" i="12"/>
  <c r="E61" i="12"/>
  <c r="D58" i="12"/>
  <c r="E58" i="12" s="1"/>
  <c r="G58" i="12" s="1"/>
  <c r="G61" i="12" s="1"/>
  <c r="K102" i="12" s="1"/>
  <c r="D52" i="12"/>
  <c r="D51" i="12"/>
  <c r="E50" i="12"/>
  <c r="D50" i="12"/>
  <c r="H29" i="12"/>
  <c r="D106" i="12" s="1"/>
  <c r="B22" i="12"/>
  <c r="E19" i="12"/>
  <c r="G19" i="12" s="1"/>
  <c r="D104" i="12" s="1"/>
  <c r="E18" i="12"/>
  <c r="G18" i="12" s="1"/>
  <c r="D103" i="12" s="1"/>
  <c r="E17" i="12"/>
  <c r="G17" i="12" s="1"/>
  <c r="E16" i="12"/>
  <c r="F91" i="12"/>
  <c r="H88" i="12"/>
  <c r="H91" i="12" s="1"/>
  <c r="K109" i="12" s="1"/>
  <c r="J8" i="11"/>
  <c r="E26" i="11"/>
  <c r="J31" i="11"/>
  <c r="J30" i="11"/>
  <c r="J29" i="11"/>
  <c r="J28" i="11"/>
  <c r="J27" i="11"/>
  <c r="J26" i="11"/>
  <c r="J25" i="11"/>
  <c r="J24" i="11"/>
  <c r="J23" i="11"/>
  <c r="J22" i="11"/>
  <c r="J21" i="11"/>
  <c r="J19" i="11"/>
  <c r="J18" i="11"/>
  <c r="J17" i="11"/>
  <c r="J16" i="11"/>
  <c r="J15" i="11"/>
  <c r="J14" i="11"/>
  <c r="J13" i="11"/>
  <c r="J12" i="11"/>
  <c r="J11" i="11"/>
  <c r="J10" i="11"/>
  <c r="J9" i="11"/>
  <c r="J7" i="11"/>
  <c r="J6" i="11"/>
  <c r="J5" i="11"/>
  <c r="E25" i="11"/>
  <c r="G37" i="12" l="1"/>
  <c r="G39" i="12"/>
  <c r="E49" i="12"/>
  <c r="G16" i="12"/>
  <c r="D101" i="12" s="1"/>
  <c r="K100" i="12"/>
  <c r="G128" i="12" s="1"/>
  <c r="H80" i="12"/>
  <c r="K107" i="12" s="1"/>
  <c r="G79" i="12"/>
  <c r="K104" i="12" s="1"/>
  <c r="G71" i="12"/>
  <c r="K103" i="12" s="1"/>
  <c r="E79" i="12"/>
  <c r="D102" i="12"/>
  <c r="E22" i="12"/>
  <c r="D100" i="12" s="1"/>
  <c r="C117" i="12" s="1"/>
  <c r="H28" i="12" l="1"/>
  <c r="D105" i="12" s="1"/>
  <c r="D107" i="12" s="1"/>
  <c r="G127" i="12"/>
  <c r="G126" i="12"/>
  <c r="G49" i="12"/>
  <c r="G56" i="12" s="1"/>
  <c r="K101" i="12" s="1"/>
  <c r="E62" i="12"/>
  <c r="G22" i="12"/>
  <c r="G129" i="12"/>
  <c r="C115" i="12" l="1"/>
  <c r="B128" i="12" s="1"/>
  <c r="B127" i="12"/>
  <c r="B126" i="12"/>
  <c r="K106" i="12"/>
  <c r="H129" i="12"/>
  <c r="I129" i="12" s="1"/>
  <c r="K105" i="12"/>
  <c r="H128" i="12"/>
  <c r="I128" i="12" s="1"/>
  <c r="G62" i="12"/>
  <c r="H127" i="12"/>
  <c r="I127" i="12" s="1"/>
  <c r="J127" i="12" s="1"/>
  <c r="H126" i="12"/>
  <c r="I126" i="12" s="1"/>
  <c r="J126" i="12" s="1"/>
  <c r="J128" i="12" l="1"/>
  <c r="K128" i="12" s="1"/>
  <c r="J129" i="12"/>
  <c r="K127" i="12"/>
  <c r="K126" i="12"/>
  <c r="K129" i="12" l="1"/>
  <c r="K113" i="12"/>
  <c r="D11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14" authorId="0" shapeId="0" xr:uid="{BDAB6A8C-BDF0-6149-B7B7-F7C14D963A06}">
      <text>
        <r>
          <rPr>
            <sz val="10"/>
            <color rgb="FF000000"/>
            <rFont val="Calibri"/>
            <family val="2"/>
          </rPr>
          <t xml:space="preserve">If allocating total facility electricity use and emissions to the applicant product (rather than reporting and addressing emissions at the facility level), allocation must be to the final manufacturing stage of the product. Refer to the Final Manufacturing Stage Guidance on C2CPII's resources page for defining the boundaries of this stage. Please refer to the Greenhouse Gas Protocol Product Lifecycle Standard to determine the most appropriate allocation method.
</t>
        </r>
        <r>
          <rPr>
            <sz val="10"/>
            <color rgb="FF000000"/>
            <rFont val="Calibri"/>
            <family val="2"/>
          </rPr>
          <t>https://ghgprotocol.org/</t>
        </r>
      </text>
    </comment>
    <comment ref="H14" authorId="0" shapeId="0" xr:uid="{86F868BF-A97A-2743-847B-9065A146D776}">
      <text>
        <r>
          <rPr>
            <sz val="10"/>
            <color rgb="FF000000"/>
            <rFont val="Calibri"/>
            <family val="2"/>
          </rPr>
          <t xml:space="preserve">Renewable electricity is defined in standard section 6.4. Electricity must be from one of the sources listed as renewable in the standard to be counted as 'renewable'. Note that hydroelectricity is only considered renewable if certified sustainable or from non-impoundment sources. </t>
        </r>
      </text>
    </comment>
    <comment ref="B36" authorId="0" shapeId="0" xr:uid="{54A6146D-6A68-D944-9029-5B1B14FF7CE4}">
      <text>
        <r>
          <rPr>
            <sz val="10"/>
            <color rgb="FF000000"/>
            <rFont val="Calibri"/>
            <family val="2"/>
          </rPr>
          <t>A country's residual mix represents the shares of electricity generation attributes available for disclosure, after the use of explicit tracking systems, such as GO, have been accounted for. Without a residual mix, renewable electricity sold with GOs would be double counted because the same electricity would be disclosed to consumers buying "regular" electricity. https://www.aib-net.org/sites/default/files/assets/facts/residual-mix/2021/AIB_2021_Residual_Mix_Results_1_1.pdf</t>
        </r>
      </text>
    </comment>
    <comment ref="C42" authorId="0" shapeId="0" xr:uid="{0287F6C3-0B37-894D-AEBB-22F0433BEB10}">
      <text>
        <r>
          <rPr>
            <sz val="10"/>
            <color rgb="FF000000"/>
            <rFont val="Calibri"/>
            <family val="2"/>
          </rPr>
          <t>The assumption is that a financial donation would be used instead of purchasing attribute certificates (rather than both being sued for achieving a portion of the target). The later would be allowable but the calculations in this table would not function correctly. If the latter option is employed, please provide an explanation and separate calculations.</t>
        </r>
      </text>
    </comment>
    <comment ref="D46" authorId="0" shapeId="0" xr:uid="{39416F5E-9249-E34C-B67B-4E501DE3CC50}">
      <text>
        <r>
          <rPr>
            <sz val="10"/>
            <color rgb="FF000000"/>
            <rFont val="Calibri"/>
            <family val="2"/>
          </rPr>
          <t xml:space="preserve">Different factors may be used if there is a good rationale for doing so. For example, the heating content of fuels (e.g., natural gas) can vary by region and so more localized factors may be preferrable. </t>
        </r>
      </text>
    </comment>
    <comment ref="C49" authorId="0" shapeId="0" xr:uid="{8C89BAE0-823A-EC48-B806-4381BEFC5FDF}">
      <text>
        <r>
          <rPr>
            <b/>
            <sz val="10"/>
            <color rgb="FF000000"/>
            <rFont val="Calibri"/>
            <family val="2"/>
          </rPr>
          <t xml:space="preserve">Where LHV and HHV are options: This stands for higher heating value and lower heating value. </t>
        </r>
        <r>
          <rPr>
            <sz val="10"/>
            <color rgb="FF000000"/>
            <rFont val="Calibri"/>
            <family val="2"/>
          </rPr>
          <t>The majority of locations use LHV. If in the United States, select HHV.</t>
        </r>
      </text>
    </comment>
    <comment ref="D58" authorId="0" shapeId="0" xr:uid="{770A6F69-34C9-514E-9708-D5AE1A6E0FB7}">
      <text>
        <r>
          <rPr>
            <sz val="10"/>
            <color rgb="FF000000"/>
            <rFont val="Calibri"/>
            <family val="2"/>
          </rPr>
          <t xml:space="preserve">The factor listed is based on the IPCC COD-default factor of 0.25 kg CH4/kg COD, the worst case methane correction factor (MCF) of 0.8 and a GWP for Methane of 28 per IPCC, 2014.
</t>
        </r>
        <r>
          <rPr>
            <sz val="10"/>
            <color rgb="FF000000"/>
            <rFont val="Calibri"/>
            <family val="2"/>
          </rPr>
          <t xml:space="preserve">Emission factor (CO2e) = 0.25*0.8*28
</t>
        </r>
        <r>
          <rPr>
            <sz val="10"/>
            <color rgb="FF000000"/>
            <rFont val="Calibri"/>
            <family val="2"/>
          </rPr>
          <t xml:space="preserve">
</t>
        </r>
        <r>
          <rPr>
            <sz val="10"/>
            <color rgb="FF000000"/>
            <rFont val="Calibri"/>
            <family val="2"/>
          </rPr>
          <t xml:space="preserve">See section 6.2.3, of the 2006 IPCC Guidelines for National Greenhouse Gas Inventories, Chapter 6, Wastewater Treatment and Discharge, or more recent version when available (new version due for release in 2019-20)
</t>
        </r>
        <r>
          <rPr>
            <sz val="10"/>
            <color rgb="FF000000"/>
            <rFont val="Calibri"/>
            <family val="2"/>
          </rPr>
          <t xml:space="preserve">
</t>
        </r>
        <r>
          <rPr>
            <sz val="10"/>
            <color rgb="FF000000"/>
            <rFont val="Calibri"/>
            <family val="2"/>
          </rPr>
          <t xml:space="preserve">https://www.ipcc-nggip.iges.or.jp/public/2006gl/pdf/5_Volume5/V5_6_Ch6_Wastewater.pdf
</t>
        </r>
      </text>
    </comment>
    <comment ref="C74" authorId="0" shapeId="0" xr:uid="{07BF1D25-4A30-EC4A-AE77-1FEA3848A3C0}">
      <text>
        <r>
          <rPr>
            <b/>
            <sz val="10"/>
            <color rgb="FF000000"/>
            <rFont val="Calibri"/>
            <family val="2"/>
          </rPr>
          <t xml:space="preserve">Where LHV and HHV are options: This stands for higher heating value and lower heating value. </t>
        </r>
        <r>
          <rPr>
            <sz val="10"/>
            <color rgb="FF000000"/>
            <rFont val="Calibri"/>
            <family val="2"/>
          </rPr>
          <t>The majority of locations use LHV. If in the United States, select HHV.</t>
        </r>
      </text>
    </comment>
    <comment ref="A76" authorId="0" shapeId="0" xr:uid="{B9B23792-544A-B647-896D-186B2B2B6868}">
      <text>
        <r>
          <rPr>
            <b/>
            <sz val="10"/>
            <color rgb="FF000000"/>
            <rFont val="Calibri"/>
            <family val="2"/>
          </rPr>
          <t>See the Standard for definition</t>
        </r>
      </text>
    </comment>
    <comment ref="F100" authorId="0" shapeId="0" xr:uid="{124A54F5-5D06-1345-A33B-B6BEE71AE3A5}">
      <text>
        <r>
          <rPr>
            <sz val="10"/>
            <color rgb="FF000000"/>
            <rFont val="Calibri"/>
            <family val="2"/>
          </rPr>
          <t>Answer the question regarding whether or not carbon offsets will be used to compensate for emissions from purchased electricity in table 1a. If Yes, the amount of product allocated emissions will be added to this table. If no, this cell will be set to zero.</t>
        </r>
      </text>
    </comment>
    <comment ref="F107" authorId="0" shapeId="0" xr:uid="{60571788-5692-2841-8437-17DD82AC8BD1}">
      <text>
        <r>
          <rPr>
            <sz val="10"/>
            <color rgb="FF000000"/>
            <rFont val="Calibri"/>
            <family val="2"/>
          </rPr>
          <t>Receives credit at all certification levels. However, may not be used to reduce the amount of offsets required for offsetting indirect emissions from electricity.</t>
        </r>
      </text>
    </comment>
    <comment ref="F108" authorId="0" shapeId="0" xr:uid="{14AD4D3A-0F7C-9E42-9EEF-837E4AAFBEBE}">
      <text>
        <r>
          <rPr>
            <sz val="10"/>
            <color rgb="FF000000"/>
            <rFont val="Calibri"/>
            <family val="2"/>
          </rPr>
          <t xml:space="preserve">Receives credit at the Bronze and Silver levels only. </t>
        </r>
      </text>
    </comment>
    <comment ref="F109" authorId="0" shapeId="0" xr:uid="{243A2245-3EAD-A842-B7A3-82713BB6BF2F}">
      <text>
        <r>
          <rPr>
            <sz val="10"/>
            <color rgb="FF000000"/>
            <rFont val="Calibri"/>
            <family val="2"/>
          </rPr>
          <t xml:space="preserve">Carbon offsets may be used to address emissions from any source through the Gold level.
</t>
        </r>
        <r>
          <rPr>
            <sz val="10"/>
            <color rgb="FF000000"/>
            <rFont val="Calibri"/>
            <family val="2"/>
          </rPr>
          <t xml:space="preserve">
</t>
        </r>
        <r>
          <rPr>
            <sz val="10"/>
            <color rgb="FF000000"/>
            <rFont val="Calibri"/>
            <family val="2"/>
          </rPr>
          <t>For the Platinum level, carbon offsets may only be used to address emissions from on-site non-energy sources and for any remaining emissions from bioenergy that was not compensated for by the bioenergy credit.</t>
        </r>
      </text>
    </comment>
    <comment ref="C120" authorId="0" shapeId="0" xr:uid="{20F818C7-B34A-3A4B-BCEF-7CEBD0B5DD2C}">
      <text>
        <r>
          <rPr>
            <sz val="10"/>
            <color rgb="FF000000"/>
            <rFont val="Calibri"/>
            <family val="2"/>
          </rPr>
          <t xml:space="preserve">Credit maximums are:
</t>
        </r>
        <r>
          <rPr>
            <sz val="10"/>
            <color rgb="FF000000"/>
            <rFont val="Calibri"/>
            <family val="2"/>
          </rPr>
          <t xml:space="preserve">Bronze - 5%
</t>
        </r>
        <r>
          <rPr>
            <sz val="10"/>
            <color rgb="FF000000"/>
            <rFont val="Calibri"/>
            <family val="2"/>
          </rPr>
          <t xml:space="preserve">Silver - 20%
</t>
        </r>
        <r>
          <rPr>
            <sz val="10"/>
            <color rgb="FF000000"/>
            <rFont val="Calibri"/>
            <family val="2"/>
          </rPr>
          <t>Gold - 25% (may not be counted towards the requirement to produce renewable electricity on-site or procure via long term PPAs).</t>
        </r>
      </text>
    </comment>
    <comment ref="J120" authorId="0" shapeId="0" xr:uid="{51BC0687-668F-024E-B610-63F786200BEF}">
      <text>
        <r>
          <rPr>
            <sz val="10"/>
            <color rgb="FF000000"/>
            <rFont val="Calibri"/>
            <family val="2"/>
          </rPr>
          <t xml:space="preserve">Credit maximums are: 
</t>
        </r>
        <r>
          <rPr>
            <sz val="10"/>
            <color rgb="FF000000"/>
            <rFont val="Calibri"/>
            <family val="2"/>
          </rPr>
          <t xml:space="preserve">Bronze - 5 percentage points
</t>
        </r>
        <r>
          <rPr>
            <sz val="10"/>
            <color rgb="FF000000"/>
            <rFont val="Calibri"/>
            <family val="2"/>
          </rPr>
          <t xml:space="preserve">Silver - 10 percentage points
</t>
        </r>
        <r>
          <rPr>
            <sz val="10"/>
            <color rgb="FF000000"/>
            <rFont val="Calibri"/>
            <family val="2"/>
          </rPr>
          <t xml:space="preserve">
</t>
        </r>
        <r>
          <rPr>
            <sz val="10"/>
            <color rgb="FF000000"/>
            <rFont val="Calibri"/>
            <family val="2"/>
          </rPr>
          <t>May not be applied to reducing the amount of carbon offsets required to address indirect emissions attributable to purchased electricity</t>
        </r>
      </text>
    </comment>
    <comment ref="C121" authorId="0" shapeId="0" xr:uid="{5BEC9515-AD5C-1C4B-93D6-5758EC12807C}">
      <text>
        <r>
          <rPr>
            <b/>
            <sz val="10"/>
            <color rgb="FF000000"/>
            <rFont val="Calibri"/>
            <family val="2"/>
          </rPr>
          <t>requires third-party verification.</t>
        </r>
        <r>
          <rPr>
            <sz val="10"/>
            <color rgb="FF000000"/>
            <rFont val="Calibri"/>
            <family val="2"/>
          </rPr>
          <t xml:space="preserve">
</t>
        </r>
        <r>
          <rPr>
            <sz val="10"/>
            <color rgb="FF000000"/>
            <rFont val="Calibri"/>
            <family val="2"/>
          </rPr>
          <t xml:space="preserve">Report value here and adjust the required percentages in the Required column above manually. Credit maximums are: 
</t>
        </r>
        <r>
          <rPr>
            <sz val="10"/>
            <color rgb="FF000000"/>
            <rFont val="Calibri"/>
            <family val="2"/>
          </rPr>
          <t xml:space="preserve">Bronze - 5 percentage points
</t>
        </r>
        <r>
          <rPr>
            <sz val="10"/>
            <color rgb="FF000000"/>
            <rFont val="Calibri"/>
            <family val="2"/>
          </rPr>
          <t xml:space="preserve">Silver - 10 percentage points
</t>
        </r>
        <r>
          <rPr>
            <sz val="10"/>
            <color rgb="FF000000"/>
            <rFont val="Calibri"/>
            <family val="2"/>
          </rPr>
          <t>Gold - 12.5 percentage points</t>
        </r>
      </text>
    </comment>
    <comment ref="J121" authorId="0" shapeId="0" xr:uid="{ADD879E4-70E9-0240-A474-F0A9411A901B}">
      <text>
        <r>
          <rPr>
            <b/>
            <sz val="10"/>
            <color rgb="FF000000"/>
            <rFont val="Calibri"/>
            <family val="2"/>
          </rPr>
          <t>requires third-party verification.</t>
        </r>
        <r>
          <rPr>
            <sz val="10"/>
            <color rgb="FF000000"/>
            <rFont val="Calibri"/>
            <family val="2"/>
          </rPr>
          <t xml:space="preserve">
</t>
        </r>
        <r>
          <rPr>
            <sz val="10"/>
            <color rgb="FF000000"/>
            <rFont val="Calibri"/>
            <family val="2"/>
          </rPr>
          <t xml:space="preserve">Report value here and adjust the required percentages in the Required column above manually. Credit maximums are: 
</t>
        </r>
        <r>
          <rPr>
            <sz val="10"/>
            <color rgb="FF000000"/>
            <rFont val="Calibri"/>
            <family val="2"/>
          </rPr>
          <t xml:space="preserve">Bronze - 5 percentage points
</t>
        </r>
        <r>
          <rPr>
            <sz val="10"/>
            <color rgb="FF000000"/>
            <rFont val="Calibri"/>
            <family val="2"/>
          </rPr>
          <t xml:space="preserve">Silver - 10 percentage points
</t>
        </r>
        <r>
          <rPr>
            <sz val="10"/>
            <color rgb="FF000000"/>
            <rFont val="Calibri"/>
            <family val="2"/>
          </rPr>
          <t>Gold - 12.5 percentage points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Esther Julier</author>
    <author>Microsoft Office User</author>
  </authors>
  <commentList>
    <comment ref="C3" authorId="0" shapeId="0" xr:uid="{00000000-0006-0000-0300-000001000000}">
      <text>
        <r>
          <rPr>
            <b/>
            <sz val="9"/>
            <color rgb="FF000000"/>
            <rFont val="Calibri"/>
            <family val="2"/>
          </rPr>
          <t xml:space="preserve">multiply this factor by the amount of fuel to determine CO2 emissions.
</t>
        </r>
        <r>
          <rPr>
            <b/>
            <sz val="9"/>
            <color rgb="FF000000"/>
            <rFont val="Calibri"/>
            <family val="2"/>
          </rPr>
          <t xml:space="preserve">
</t>
        </r>
        <r>
          <rPr>
            <b/>
            <sz val="9"/>
            <color rgb="FF000000"/>
            <rFont val="Calibri"/>
            <family val="2"/>
          </rPr>
          <t xml:space="preserve">When fuels are measured in terms of energy content instead of volume or weight, you will need to determine if this was calculated based on higher or lower heating values (HHV or LHV) in order to decide which conversion factor to use. In the US it is common to use LHV; in the EU it is common to use the HHV. </t>
        </r>
      </text>
    </comment>
    <comment ref="D3" authorId="0" shapeId="0" xr:uid="{00000000-0006-0000-0300-000002000000}">
      <text>
        <r>
          <rPr>
            <b/>
            <sz val="9"/>
            <color rgb="FF000000"/>
            <rFont val="Calibri"/>
            <family val="2"/>
          </rPr>
          <t>t = metric tons = 1,000 kg</t>
        </r>
      </text>
    </comment>
    <comment ref="K3" authorId="0" shapeId="0" xr:uid="{08A9F020-0991-C549-9408-94C723A382E4}">
      <text>
        <r>
          <rPr>
            <sz val="9"/>
            <color rgb="FF000000"/>
            <rFont val="Calibri"/>
            <family val="2"/>
          </rPr>
          <t xml:space="preserve">https://www.green-e.org/2021-residual-mix
</t>
        </r>
        <r>
          <rPr>
            <sz val="9"/>
            <color rgb="FF000000"/>
            <rFont val="Calibri"/>
            <family val="2"/>
          </rPr>
          <t xml:space="preserve">
</t>
        </r>
        <r>
          <rPr>
            <sz val="9"/>
            <color rgb="FF000000"/>
            <rFont val="Calibri"/>
            <family val="2"/>
          </rPr>
          <t xml:space="preserve"> includes NO2 and CH4 as CO2e from eGRID values.</t>
        </r>
      </text>
    </comment>
    <comment ref="O3" authorId="0" shapeId="0" xr:uid="{4B85B9EA-A017-ED40-81D8-47F701DB8F91}">
      <text>
        <r>
          <rPr>
            <sz val="10"/>
            <color rgb="FF000000"/>
            <rFont val="Tahoma"/>
            <family val="2"/>
          </rPr>
          <t>https://www.world-nuclear.org/information-library/facts-and-figures/nuclear-generation-by-country.aspx</t>
        </r>
      </text>
    </comment>
    <comment ref="P3" authorId="0" shapeId="0" xr:uid="{91536C64-69C4-B14A-9E80-32C0AB4803FC}">
      <text>
        <r>
          <rPr>
            <sz val="10"/>
            <color rgb="FF000000"/>
            <rFont val="Tahoma"/>
            <family val="2"/>
          </rPr>
          <t xml:space="preserve">https://www.aib-net.org/facts/European-residual-mix
</t>
        </r>
        <r>
          <rPr>
            <sz val="10"/>
            <color rgb="FF000000"/>
            <rFont val="Tahoma"/>
            <family val="2"/>
          </rPr>
          <t xml:space="preserve">
</t>
        </r>
        <r>
          <rPr>
            <sz val="10"/>
            <color rgb="FF000000"/>
            <rFont val="Tahoma"/>
            <family val="2"/>
          </rPr>
          <t>European Residual Mixes 2019 v1.1 (published 2020-09-08) - Table 5, Direct GWP (gCO2/kWh)</t>
        </r>
      </text>
    </comment>
    <comment ref="Q3" authorId="0" shapeId="0" xr:uid="{35E133FC-E16C-3C48-B4E2-D1C219F8192E}">
      <text>
        <r>
          <rPr>
            <sz val="10"/>
            <color rgb="FF000000"/>
            <rFont val="Tahoma"/>
            <family val="2"/>
          </rPr>
          <t xml:space="preserve">https://www.aib-net.org/facts/European-residual-mix
</t>
        </r>
        <r>
          <rPr>
            <sz val="10"/>
            <color rgb="FF000000"/>
            <rFont val="Tahoma"/>
            <family val="2"/>
          </rPr>
          <t xml:space="preserve">
</t>
        </r>
        <r>
          <rPr>
            <sz val="10"/>
            <color rgb="FF000000"/>
            <rFont val="Tahoma"/>
            <family val="2"/>
          </rPr>
          <t>European Residual Mixes 2019 v1.1 (published 2020-09-08) - Table 2, Direct GWP (gCO2/kWh)</t>
        </r>
      </text>
    </comment>
    <comment ref="R3" authorId="0" shapeId="0" xr:uid="{DADCE1D2-0362-1A46-AFCC-A2F8F3297A32}">
      <text>
        <r>
          <rPr>
            <sz val="10"/>
            <color rgb="FF000000"/>
            <rFont val="Tahoma"/>
            <family val="2"/>
          </rPr>
          <t xml:space="preserve">https://www.aib-net.org/facts/European-residual-mix
</t>
        </r>
        <r>
          <rPr>
            <sz val="10"/>
            <color rgb="FF000000"/>
            <rFont val="Tahoma"/>
            <family val="2"/>
          </rPr>
          <t xml:space="preserve">
</t>
        </r>
        <r>
          <rPr>
            <sz val="10"/>
            <color rgb="FF000000"/>
            <rFont val="Tahoma"/>
            <family val="2"/>
          </rPr>
          <t xml:space="preserve">European Residual Mixes 2018 v1.2 (published July 2019) - Table 2, Direct GWP (gCO2/kWh)
</t>
        </r>
        <r>
          <rPr>
            <sz val="10"/>
            <color rgb="FF000000"/>
            <rFont val="Tahoma"/>
            <family val="2"/>
          </rPr>
          <t xml:space="preserve">
</t>
        </r>
        <r>
          <rPr>
            <sz val="10"/>
            <color rgb="FF000000"/>
            <rFont val="Tahoma"/>
            <family val="2"/>
          </rPr>
          <t>This list is no longer being referenced in the tab Energy &amp; GHGs.</t>
        </r>
      </text>
    </comment>
    <comment ref="C5" authorId="1" shapeId="0" xr:uid="{51DC80BA-CE15-C64C-863C-E2598E7BF174}">
      <text>
        <r>
          <rPr>
            <b/>
            <sz val="10"/>
            <color rgb="FF000000"/>
            <rFont val="Calibri"/>
            <family val="2"/>
          </rPr>
          <t xml:space="preserve">Reference:
</t>
        </r>
        <r>
          <rPr>
            <sz val="10"/>
            <color rgb="FF000000"/>
            <rFont val="Calibri"/>
            <family val="2"/>
          </rPr>
          <t xml:space="preserve">2006 IPCC Guidelines for National Greenhouse Gas Inventories https://www.ipcc-nggip.iges.or.jp/public/2006gl/pdf/2_Volume2/V2_2_Ch2_Stationary_Combustion.pdf
</t>
        </r>
      </text>
    </comment>
    <comment ref="B9" authorId="0" shapeId="0" xr:uid="{00000000-0006-0000-0300-000003000000}">
      <text>
        <r>
          <rPr>
            <b/>
            <sz val="9"/>
            <color rgb="FF000000"/>
            <rFont val="Calibri"/>
            <family val="2"/>
          </rPr>
          <t xml:space="preserve">1 ccf=100 cubic feet
</t>
        </r>
      </text>
    </comment>
    <comment ref="B10" authorId="0" shapeId="0" xr:uid="{00000000-0006-0000-0300-000004000000}">
      <text>
        <r>
          <rPr>
            <b/>
            <sz val="9"/>
            <color rgb="FF000000"/>
            <rFont val="Calibri"/>
            <family val="2"/>
          </rPr>
          <t>MCF = 1000 cubic feet</t>
        </r>
      </text>
    </comment>
    <comment ref="B11" authorId="0" shapeId="0" xr:uid="{00000000-0006-0000-0300-000005000000}">
      <text>
        <r>
          <rPr>
            <b/>
            <sz val="9"/>
            <color rgb="FF000000"/>
            <rFont val="Calibri"/>
            <family val="2"/>
          </rPr>
          <t>1 mmBtu = 1,000,000 British thermal units (Btu)</t>
        </r>
      </text>
    </comment>
    <comment ref="A18" authorId="1" shapeId="0" xr:uid="{00000000-0006-0000-0300-000006000000}">
      <text>
        <r>
          <rPr>
            <b/>
            <sz val="10"/>
            <color rgb="FF000000"/>
            <rFont val="Calibri"/>
            <family val="2"/>
          </rPr>
          <t>Factors are for stationary combustion</t>
        </r>
        <r>
          <rPr>
            <sz val="10"/>
            <color rgb="FF000000"/>
            <rFont val="Calibri"/>
            <family val="2"/>
          </rPr>
          <t xml:space="preserve">
</t>
        </r>
        <r>
          <rPr>
            <sz val="10"/>
            <color rgb="FF000000"/>
            <rFont val="Calibri"/>
            <family val="2"/>
          </rPr>
          <t xml:space="preserve">
</t>
        </r>
        <r>
          <rPr>
            <sz val="10"/>
            <color rgb="FF000000"/>
            <rFont val="Calibri"/>
            <family val="2"/>
          </rPr>
          <t>See the Greehouse Gas Protocoal for factors relevant to transport if needed.</t>
        </r>
      </text>
    </comment>
    <comment ref="A20" authorId="0" shapeId="0" xr:uid="{00000000-0006-0000-0300-000007000000}">
      <text>
        <r>
          <rPr>
            <b/>
            <sz val="9"/>
            <color rgb="FF000000"/>
            <rFont val="Calibri"/>
            <family val="2"/>
          </rPr>
          <t xml:space="preserve">"gas/diesel oil" in the GHG protocol tool
</t>
        </r>
      </text>
    </comment>
    <comment ref="C23" authorId="1" shapeId="0" xr:uid="{6F530C81-1DA5-954B-9CF7-53FA4A828012}">
      <text>
        <r>
          <rPr>
            <b/>
            <sz val="10"/>
            <color rgb="FF000000"/>
            <rFont val="Calibri"/>
            <family val="2"/>
          </rPr>
          <t xml:space="preserve">Reference:
</t>
        </r>
        <r>
          <rPr>
            <sz val="10"/>
            <color rgb="FF000000"/>
            <rFont val="Calibri"/>
            <family val="2"/>
          </rPr>
          <t xml:space="preserve">2006 IPCC Guidelines for National Greenhouse Gas Inventories https://www.ipcc-nggip.iges.or.jp/public/2006gl/pdf/2_Volume2/V2_2_Ch2_Stationary_Combustion.pdf
</t>
        </r>
      </text>
    </comment>
    <comment ref="C27" authorId="1" shapeId="0" xr:uid="{C66B7F94-7C10-8E4D-844D-DD345BA7B949}">
      <text>
        <r>
          <rPr>
            <b/>
            <sz val="10"/>
            <color rgb="FF000000"/>
            <rFont val="Calibri"/>
            <family val="2"/>
          </rPr>
          <t xml:space="preserve">Reference:
</t>
        </r>
        <r>
          <rPr>
            <sz val="10"/>
            <color rgb="FF000000"/>
            <rFont val="Calibri"/>
            <family val="2"/>
          </rPr>
          <t xml:space="preserve"> Koffi, Brigitte; Cerutti, Alessandro; Duerr, Marlene; Iancu, Andreea; Kona, Albana; Janssens-Maenhout, Greet (2017): CoM Default Emission Factors for the Member States of the European Union - Version 2017, European Commission, Joint Research Centre (JRC) [Dataset] PID: http://data.europa.eu/89h/jrc-com-ef-comw-ef-2017.	 https://data.jrc.ec.europa.eu/dataset/jrc-com-ef-comw-ef-2017/resource/ea57f0dd-7fd0-4692-a01a-cd5f477c4fa4
</t>
        </r>
      </text>
    </comment>
  </commentList>
</comments>
</file>

<file path=xl/sharedStrings.xml><?xml version="1.0" encoding="utf-8"?>
<sst xmlns="http://schemas.openxmlformats.org/spreadsheetml/2006/main" count="903" uniqueCount="642">
  <si>
    <t>Clean Air &amp; Climate Protection Worksheet - Using Renewable Electricity and Addressing Greenhouse Gas Emissions in Final Manufacturing</t>
  </si>
  <si>
    <t>Cradle to Cradle Certified® Products Program</t>
  </si>
  <si>
    <r>
      <t xml:space="preserve">Fill out a Clean Air &amp; Climate Protection worksheet for each of the facilities included in the final manufacturing stage of the product. The data provided must be for the entire facility (not only the certified product or product group). Facility level data may then be allocated to the product or product group as indicated below in the tables. The Clean Air &amp; Climate Protection targets may be applied to either the facility level data or the product allocated data. 
Once complete for all relevant facilities, the information provided in this data sheet, along with the required supporting documents, allows an applicant to fulfill the requirements in </t>
    </r>
    <r>
      <rPr>
        <b/>
        <sz val="10"/>
        <color theme="1"/>
        <rFont val="Verdana"/>
        <family val="2"/>
      </rPr>
      <t xml:space="preserve">Sections 6.2 Quantifying Electricity Use and Greenhouse Gas Emissions (Bronze level) and 6.4 Using Renewable Electricity and Addressing Greenhouse Gas Emissions in Final Manufacturing </t>
    </r>
    <r>
      <rPr>
        <sz val="10"/>
        <color theme="1"/>
        <rFont val="Verdana"/>
        <family val="2"/>
      </rPr>
      <t>of the Cradle to Cradle Certified Version 4.0 Product Standard. 
NOTE: The Performance Improvement Credit and the Silver level alternative to address 25% of embodied emissions (rather than meeting the targets for final manufacturing) are not included in this form. If using these options, please review the User Guidance for additional information and required documentation.</t>
    </r>
  </si>
  <si>
    <r>
      <rPr>
        <b/>
        <sz val="10"/>
        <color rgb="FFC00000"/>
        <rFont val="Verdana"/>
        <family val="2"/>
      </rPr>
      <t>Note:</t>
    </r>
    <r>
      <rPr>
        <sz val="10"/>
        <color rgb="FF00B0F0"/>
        <rFont val="Verdana"/>
        <family val="2"/>
      </rPr>
      <t xml:space="preserve"> </t>
    </r>
    <r>
      <rPr>
        <sz val="10"/>
        <color rgb="FF0070C0"/>
        <rFont val="Verdana"/>
        <family val="2"/>
      </rPr>
      <t>Guidance and definitions are located in pop-up notes where there are</t>
    </r>
    <r>
      <rPr>
        <sz val="10"/>
        <color rgb="FF00B0F0"/>
        <rFont val="Verdana"/>
        <family val="2"/>
      </rPr>
      <t xml:space="preserve"> </t>
    </r>
    <r>
      <rPr>
        <b/>
        <sz val="10"/>
        <color rgb="FFC00000"/>
        <rFont val="Verdana"/>
        <family val="2"/>
      </rPr>
      <t>red triangles</t>
    </r>
    <r>
      <rPr>
        <sz val="10"/>
        <color rgb="FF00B0F0"/>
        <rFont val="Verdana"/>
        <family val="2"/>
      </rPr>
      <t xml:space="preserve"> </t>
    </r>
    <r>
      <rPr>
        <sz val="10"/>
        <color rgb="FF0070C0"/>
        <rFont val="Verdana"/>
        <family val="2"/>
      </rPr>
      <t xml:space="preserve">in the corner of a cell. Click into individual cells with red triangles to see the notes. </t>
    </r>
  </si>
  <si>
    <t>Applicant and Facility Information</t>
  </si>
  <si>
    <t>Applicant Company:</t>
  </si>
  <si>
    <t>Applicant Product(s):</t>
  </si>
  <si>
    <t>Manufacturing Facility Name:</t>
  </si>
  <si>
    <t>Address:</t>
  </si>
  <si>
    <t>Country:</t>
  </si>
  <si>
    <t>[Please select]</t>
  </si>
  <si>
    <t>For facilities in the US, look up eGRID Region here: https://www.epa.gov/sites/production/files/2018-02/documents/egrid2016_summarytables.pdf (Required if using carbon offsets to compensate for emissions from purchased electricity)</t>
  </si>
  <si>
    <t>US eGRID region:</t>
  </si>
  <si>
    <t>[Please select for US facilities]</t>
  </si>
  <si>
    <t>Date range of data included in this sheet:</t>
  </si>
  <si>
    <r>
      <rPr>
        <b/>
        <i/>
        <sz val="10"/>
        <color rgb="FFC00000"/>
        <rFont val="Verdana"/>
        <family val="2"/>
      </rPr>
      <t>Note:</t>
    </r>
    <r>
      <rPr>
        <i/>
        <sz val="10"/>
        <color rgb="FFC00000"/>
        <rFont val="Verdana"/>
        <family val="2"/>
      </rPr>
      <t xml:space="preserve"> You may filter this spreadsheet by relevant topic in Column N or by using the grouping feature at left. 
</t>
    </r>
    <r>
      <rPr>
        <i/>
        <sz val="10"/>
        <color rgb="FF0070C0"/>
        <rFont val="Verdana"/>
        <family val="2"/>
      </rPr>
      <t xml:space="preserve">This allows you to hide sections of this form that are not relevant to the facility.
Calculation fields are locked. However, if it is necessary to unlock them (e.g., to insert rows) this may be done by right clicking on the Energy &amp; GHGs tab and choosing unprotect. </t>
    </r>
    <r>
      <rPr>
        <b/>
        <i/>
        <sz val="10"/>
        <color rgb="FF0070C0"/>
        <rFont val="Verdana"/>
        <family val="2"/>
      </rPr>
      <t>There is no password associated with the protection on this sheet.</t>
    </r>
    <r>
      <rPr>
        <i/>
        <sz val="10"/>
        <color rgb="FF0070C0"/>
        <rFont val="Verdana"/>
        <family val="2"/>
      </rPr>
      <t xml:space="preserve"> If you do this please highlight rows or other information added or changed.</t>
    </r>
  </si>
  <si>
    <t>b</t>
  </si>
  <si>
    <t>c</t>
  </si>
  <si>
    <t>d</t>
  </si>
  <si>
    <t>e</t>
  </si>
  <si>
    <t>Filter tables by relevant topic</t>
  </si>
  <si>
    <t xml:space="preserve">Table 1a: Annual purchased and on-site produced electricity (including conventional and renewable electricity purchased through a utility or similar)
Applicable achievement levels: All. Renewable electricity included in type i (where there is no voluntary market) and ii receive credit at Bronze, Silver, and partially at Gold, while types iii and iv also receive credit at Gold and Platinum. </t>
  </si>
  <si>
    <t>Required Documentation</t>
  </si>
  <si>
    <t>1a. Electricity is purchased (e.g. from a utility) and/or renewable electricity is produced and used on-site</t>
  </si>
  <si>
    <t>Electricity Type</t>
  </si>
  <si>
    <r>
      <rPr>
        <b/>
        <sz val="10"/>
        <color theme="1"/>
        <rFont val="Verdana"/>
        <family val="2"/>
      </rPr>
      <t>Total Quantity</t>
    </r>
    <r>
      <rPr>
        <sz val="10"/>
        <color theme="1"/>
        <rFont val="Verdana"/>
        <family val="2"/>
      </rPr>
      <t xml:space="preserve"> of Electricity Use - </t>
    </r>
    <r>
      <rPr>
        <b/>
        <sz val="10"/>
        <color theme="1"/>
        <rFont val="Verdana"/>
        <family val="2"/>
      </rPr>
      <t xml:space="preserve">Facility </t>
    </r>
    <r>
      <rPr>
        <sz val="10"/>
        <color theme="1"/>
        <rFont val="Verdana"/>
        <family val="2"/>
      </rPr>
      <t>(annual use)</t>
    </r>
  </si>
  <si>
    <t>UNIT (please use MWh)</t>
  </si>
  <si>
    <t>[Please select the allocation method used]</t>
  </si>
  <si>
    <t>% of Source Considered Renewable</t>
  </si>
  <si>
    <t>Renewable Electricity for Product (units - per column C)</t>
  </si>
  <si>
    <t>Renewable Electricity Source(s) (list all sources e.g. solar, wind)</t>
  </si>
  <si>
    <t>Comments including:
1. Explanation of allocation assumptions, 
2. Data sources (e.g. utility bills), 
3. Energy provider name(s)</t>
  </si>
  <si>
    <r>
      <rPr>
        <b/>
        <sz val="10"/>
        <color theme="1"/>
        <rFont val="Verdana"/>
        <family val="2"/>
      </rPr>
      <t xml:space="preserve">% Allocated to Product </t>
    </r>
    <r>
      <rPr>
        <sz val="10"/>
        <color theme="1"/>
        <rFont val="Verdana"/>
        <family val="2"/>
      </rPr>
      <t>Final Manufacturing</t>
    </r>
  </si>
  <si>
    <t>Final Manufacture Electricity (units - per column C)</t>
  </si>
  <si>
    <r>
      <rPr>
        <sz val="10"/>
        <color theme="1"/>
        <rFont val="Verdana"/>
        <family val="2"/>
      </rPr>
      <t>i. Conventional purchased electricity - standard grid mix</t>
    </r>
    <r>
      <rPr>
        <i/>
        <sz val="10"/>
        <color theme="1"/>
        <rFont val="Verdana"/>
        <family val="2"/>
      </rPr>
      <t xml:space="preserve">
</t>
    </r>
    <r>
      <rPr>
        <i/>
        <sz val="10"/>
        <color rgb="FF0070C0"/>
        <rFont val="Verdana"/>
        <family val="2"/>
      </rPr>
      <t xml:space="preserve">NOTE: Electricity that is part of a utility’s default offer (i.e. renewable electricity that is part of the standard grid mix) may receive credit towards achieving the renewable electricity targets </t>
    </r>
    <r>
      <rPr>
        <b/>
        <i/>
        <sz val="10"/>
        <color rgb="FF0070C0"/>
        <rFont val="Verdana"/>
        <family val="2"/>
      </rPr>
      <t xml:space="preserve">only if </t>
    </r>
    <r>
      <rPr>
        <i/>
        <sz val="10"/>
        <color rgb="FF0070C0"/>
        <rFont val="Verdana"/>
        <family val="2"/>
      </rPr>
      <t xml:space="preserve">there is no voluntary renewable electricity market in the applicable market region. Where there </t>
    </r>
    <r>
      <rPr>
        <b/>
        <i/>
        <sz val="10"/>
        <color rgb="FF0070C0"/>
        <rFont val="Verdana"/>
        <family val="2"/>
      </rPr>
      <t>is</t>
    </r>
    <r>
      <rPr>
        <i/>
        <sz val="10"/>
        <color rgb="FF0070C0"/>
        <rFont val="Verdana"/>
        <family val="2"/>
      </rPr>
      <t xml:space="preserve"> a voluntary renewable electricity market (e.g., the EU and US) the value in cell 17F must be left at 0%.</t>
    </r>
  </si>
  <si>
    <t>MWh</t>
  </si>
  <si>
    <t>• For i.-iv: Utility bills, meter read outs, or similar for certification period (two years).
• For ii-iv: Renewable energy attribute certificate cancellation statements or similar (e.g. Guarantee of Origin cancellation statement). Evidence of the source(s) of renewable electricity that is supported.
• For iii: Evidence of on-site renewable production (e.g. photos) and, for Gold level, explanation of how the renewable electricity is consumed on site 'to the extent feasible'.
• For iv: PPA contract, location of installation, energy type/source, and evidence of installation age.
• For the Platinum level, an explanation regarding how the &gt;100% renewable electricity requirement has been met.</t>
  </si>
  <si>
    <t>ii. Renewable electricity purchased through a utility's voluntary green power purchasing option or similar</t>
  </si>
  <si>
    <t>iii. On-site produced renewable electricity (with renewable attributes retained; otherwise report in conventional line)</t>
  </si>
  <si>
    <t>iv. Renewable electricity purchased through long-term power purchase agreements (PPAs) supporting new renewable electricity installations (same grid)</t>
  </si>
  <si>
    <t>[list all other sources]</t>
  </si>
  <si>
    <t>Total electricity use:</t>
  </si>
  <si>
    <r>
      <rPr>
        <b/>
        <u/>
        <sz val="10"/>
        <color theme="1"/>
        <rFont val="Verdana"/>
        <family val="2"/>
      </rPr>
      <t>Question</t>
    </r>
    <r>
      <rPr>
        <sz val="10"/>
        <color theme="1"/>
        <rFont val="Verdana"/>
        <family val="2"/>
      </rPr>
      <t xml:space="preserve">: Is 100% renewable electricity procured and reported in tables 1a and 1b for the entire final manufacturing </t>
    </r>
    <r>
      <rPr>
        <u/>
        <sz val="10"/>
        <color theme="1"/>
        <rFont val="Verdana"/>
        <family val="2"/>
      </rPr>
      <t>facility</t>
    </r>
    <r>
      <rPr>
        <sz val="10"/>
        <color theme="1"/>
        <rFont val="Verdana"/>
        <family val="2"/>
      </rPr>
      <t xml:space="preserve"> (not just the final manufacturing stage of the product)?</t>
    </r>
  </si>
  <si>
    <t>NOTE: If the answer to this question is yes, then on-site renewables and/or long-term PPAs (iii and iv in the lines above) are not required at Gold level. This will be reflected in the achievement level check at the bottom of this form.</t>
  </si>
  <si>
    <t>No</t>
  </si>
  <si>
    <r>
      <rPr>
        <b/>
        <u/>
        <sz val="10"/>
        <color theme="1"/>
        <rFont val="Verdana"/>
        <family val="2"/>
      </rPr>
      <t>Question</t>
    </r>
    <r>
      <rPr>
        <u/>
        <sz val="10"/>
        <color theme="1"/>
        <rFont val="Verdana"/>
        <family val="2"/>
      </rPr>
      <t xml:space="preserve"> if applying for Platinum level</t>
    </r>
    <r>
      <rPr>
        <sz val="10"/>
        <color theme="1"/>
        <rFont val="Verdana"/>
        <family val="2"/>
      </rPr>
      <t>: Select yes if the Platinum level requirement to "Procure or produce &gt; 100% of the electricity used, producing the electricity on site and/or procuring through long-term power purchase agreements supporting new renewable electricity installations" has been achieved, and provide an explanation in the comments column.</t>
    </r>
  </si>
  <si>
    <t>Note: If the answer is yes, this will be accounted for in the achievement level check at the end of this spreadsheet. This is requested because the form does not otherwise request data for renewable production above 100%</t>
  </si>
  <si>
    <t>Table 1b: Annual purchase of unbundled renewable energy attribute certificates (RECs, GOs). If using either of the options in this table, also fill in table 1a point i to show the amount of electricity purchased and received directly from the grid.
Applicable achievement levels: Type i  receives credit for Bronze, Silver, and half of the Gold target (or 100% of Gold target if procured for the entire facility). Type ii  also receives credit at Gold and Platinum.</t>
  </si>
  <si>
    <t>1b. Electricity/energy attribute certificates (RECs, GOs) are employed (includes virtual PPAs)</t>
  </si>
  <si>
    <r>
      <t xml:space="preserve">Type of </t>
    </r>
    <r>
      <rPr>
        <b/>
        <sz val="10"/>
        <color theme="1"/>
        <rFont val="Verdana"/>
        <family val="2"/>
      </rPr>
      <t>Unbundled</t>
    </r>
    <r>
      <rPr>
        <sz val="10"/>
        <color theme="1"/>
        <rFont val="Verdana"/>
        <family val="2"/>
      </rPr>
      <t xml:space="preserve"> Electricity Attribute Certificate
</t>
    </r>
    <r>
      <rPr>
        <i/>
        <sz val="10"/>
        <color rgb="FF0070C0"/>
        <rFont val="Verdana"/>
        <family val="2"/>
      </rPr>
      <t>NOTE: 'unbundled' refers to cases where the electricity attributes are purchased and delivered separately from the electricity itself.</t>
    </r>
  </si>
  <si>
    <t>Energy Attribute Certifier (e.g. Green-e, EkoEnergy) or Verifier and Vendor</t>
  </si>
  <si>
    <t>Electricity Type (solar, wind, etc.)</t>
  </si>
  <si>
    <t>Market &amp; Grid Region. Emissions Rate if Applicable (i.e. for PPA region)</t>
  </si>
  <si>
    <t>Purchase Date</t>
  </si>
  <si>
    <t>Total Energy Attributes Purchased (MWh)</t>
  </si>
  <si>
    <t>% Allocated to Product Final Manufacture (indicate method used in Table 1a)</t>
  </si>
  <si>
    <t>Product Relevant Energy Attributes (MWh)</t>
  </si>
  <si>
    <t>Comments including indication of energy source(s)</t>
  </si>
  <si>
    <r>
      <rPr>
        <b/>
        <sz val="10"/>
        <rFont val="Verdana"/>
        <family val="2"/>
      </rPr>
      <t xml:space="preserve">i. </t>
    </r>
    <r>
      <rPr>
        <sz val="10"/>
        <rFont val="Verdana"/>
        <family val="2"/>
      </rPr>
      <t>Attribute certificates purchased on the open market via a short-term contract or single purchase</t>
    </r>
  </si>
  <si>
    <t>• Energy attribute cancellation statement and/or certificates
• For facilities in the United States: Evidence of participation in voluntary renewable energy set aside accounts (NOTE: use of Green-e® certified will ensure this has occurred)</t>
  </si>
  <si>
    <r>
      <rPr>
        <b/>
        <sz val="10"/>
        <color theme="1"/>
        <rFont val="Verdana"/>
        <family val="2"/>
      </rPr>
      <t xml:space="preserve">ii. </t>
    </r>
    <r>
      <rPr>
        <sz val="10"/>
        <color theme="1"/>
        <rFont val="Verdana"/>
        <family val="2"/>
      </rPr>
      <t>Attribute certificates for electricity procured via long-term power purchase agreements (PPAs) supporting new renewable electricity installations. (e.g. via a virtual PPA supporting renewable electricity in a grid region with higher emissions rates.).</t>
    </r>
    <r>
      <rPr>
        <sz val="10"/>
        <color theme="1" tint="4.9989318521683403E-2"/>
        <rFont val="Verdana"/>
        <family val="2"/>
      </rPr>
      <t xml:space="preserve"> long-term is ≥ 15 years. New is ≤ 15 years.</t>
    </r>
  </si>
  <si>
    <t>• PPA contract, location of installation, energy type/source, and evidence of installation age. 
• Emissions rates and references for facility and installation locations.
• Evidence of energy attribute cancellation.</t>
  </si>
  <si>
    <t>Table 1c: Greenhouse gas emissions attributable to purchased electricity (required for all; added to total direct emissions when carbon offsets will be employed to compensate for emissions from purchased electricity)
Applicable achievement levels: Bronze, Silver, Gold, Platinum (However, carbon offsets are not accepted at Platinum)</t>
  </si>
  <si>
    <t>1c. Carbon offsets are employed to compensate for GHG emissions from purchased electricity</t>
  </si>
  <si>
    <t>Comments</t>
  </si>
  <si>
    <r>
      <rPr>
        <b/>
        <u/>
        <sz val="10"/>
        <color theme="1"/>
        <rFont val="Verdana"/>
        <family val="2"/>
      </rPr>
      <t>Question</t>
    </r>
    <r>
      <rPr>
        <sz val="10"/>
        <color theme="1"/>
        <rFont val="Verdana"/>
        <family val="2"/>
      </rPr>
      <t>: Will carbon offsets be used to compensate for emissions from purchased electricity? (yes/no)</t>
    </r>
  </si>
  <si>
    <t>The answer in this row must be 'no' if:
1.The percentage nuclear share per the row below is &gt;10%, or
2. The desired achievement level in the Clean Air &amp; Climate Protection category is Platinum (exceptions may be made on a case by case basis with pre-approval from C2CPII)</t>
  </si>
  <si>
    <t>Percentage nuclear share in country where facility is located:</t>
  </si>
  <si>
    <t>This value is looked up on the pick lists tab, if available.</t>
  </si>
  <si>
    <t>GHG emissions factor for purchased electricity - location based / production mix (tCO2e/MWh)</t>
  </si>
  <si>
    <r>
      <rPr>
        <b/>
        <i/>
        <sz val="10"/>
        <color rgb="FF0070C0"/>
        <rFont val="Verdana"/>
        <family val="2"/>
      </rPr>
      <t>This factor must be used to calculate scope 2 emissions as required for Section 6.2.</t>
    </r>
    <r>
      <rPr>
        <i/>
        <sz val="10"/>
        <color rgb="FF0070C0"/>
        <rFont val="Verdana"/>
        <family val="2"/>
      </rPr>
      <t xml:space="preserve"> It is also relevant to the Transparency requirements in section 6.6 and Section 3.2.1 Assessing Environmental Risks and Opportunities #1.a. Note that location based emissions factors are included in the Pick lists tab for the US and EU. For other regions it will be necessary to locate the appropriate factors and enter them manually. Factors for China are available via the GHG Protocol tools. Factors are available for purchase from the International Energy Agency.</t>
    </r>
  </si>
  <si>
    <t xml:space="preserve">GHG emissions factor for purchased electricity - residual mix (if available) OR utility specific factor (if more accurate) (tCO2e/MWh): </t>
  </si>
  <si>
    <t>This row must be filled in only if carbon offsets will be used to compensate for emissions attributable to purchased electricity and where residual factors are available. Residual mix emissions factors are relevant where there is an electricity tracking mechanism and Renewable Energy Attribute certificates are used. Note that these emissions factors are included in the Pick lists tab for the US and EU. For other regions it will be necessary to locate the appropriate factors (if available) and enter them manually. If residual mix factors are not available, use the location based factor. Alternatively, if more specific factors are available (e.g. from the utility), these may be used instead.</t>
  </si>
  <si>
    <t>• Reference for emissions factor if those in the 'Pick list' tab are not used</t>
  </si>
  <si>
    <r>
      <t xml:space="preserve">GHG emissions for </t>
    </r>
    <r>
      <rPr>
        <u/>
        <sz val="10"/>
        <color theme="1"/>
        <rFont val="Verdana"/>
        <family val="2"/>
      </rPr>
      <t>product</t>
    </r>
    <r>
      <rPr>
        <sz val="10"/>
        <color theme="1"/>
        <rFont val="Verdana"/>
        <family val="2"/>
      </rPr>
      <t xml:space="preserve"> - location based (tCO2e):</t>
    </r>
  </si>
  <si>
    <t>This value is requested in ASF section 6.2 for all products. It may also be used to inform achievement of the transparency requirements in Section 6.6. Electricity must be entered in Table 1a in units of MWh.</t>
  </si>
  <si>
    <r>
      <t xml:space="preserve">GHG emissions for </t>
    </r>
    <r>
      <rPr>
        <u/>
        <sz val="10"/>
        <color theme="1"/>
        <rFont val="Verdana"/>
        <family val="2"/>
      </rPr>
      <t>facility</t>
    </r>
    <r>
      <rPr>
        <sz val="10"/>
        <color theme="1"/>
        <rFont val="Verdana"/>
        <family val="2"/>
      </rPr>
      <t xml:space="preserve"> - location based (tCO2e):</t>
    </r>
  </si>
  <si>
    <t>This value is relevant to Section 3.2.1 Assessing Environmental Risks and Opportunities #1.a. It may also be used to inform achievement of the Transparency requirements in Section 6.6. Electricity must be entered in Table 1a in units of MWh.</t>
  </si>
  <si>
    <t>GHG emissions for product - residual mix (tCO2e) if available, location-based if not:</t>
  </si>
  <si>
    <t xml:space="preserve">If the answer is yes to the question in the first line of this table, this value will be added to direct emissions in table 3b below. </t>
  </si>
  <si>
    <t>Table 1d: Annual financial contribution to a climate-relevant public policy initiative
Applicable achievement levels: This is an alternative to the purchase of renewable energy attribute certificates for Bronze, Silver, and for half of the Gold target.</t>
  </si>
  <si>
    <t>1d. Electricity credit: Financial contribution to public policy initiative credit is claimed</t>
  </si>
  <si>
    <t>Name of Initiative</t>
  </si>
  <si>
    <t>Donation Amount</t>
  </si>
  <si>
    <t>Cost of Attribute Certificates (RECs, GOs) to Meet Desired Target</t>
  </si>
  <si>
    <t>Units</t>
  </si>
  <si>
    <t>Credit Percentage (25% maximum)</t>
  </si>
  <si>
    <t>Comments, including: 
1. Description of initiative 
2. Explanation regarding how it was determined that the donation is valued at 2x the cost of purchasing renewable energy attribute certificates for the desired achievement level.</t>
  </si>
  <si>
    <t xml:space="preserve">• Cost estimate for attribute certificates (recent) and evidence of donation made
• Reminder: This option is not automatically included in the achievement level check at the end of this spreadsheet. </t>
  </si>
  <si>
    <t>Table 2a: Annual GHG emissions - Direct onsite emissions from stationary combustion and other sources (includes emissions from electricity produced on-site from fuel combustion).
Include purchased heat or cooling in this table (although it is associated with scope 2 emissions)
Applicable Achievement levels: Bronze, Silver, and Gold. Full electrification is required at Platinum with the exception of bioenergy (reported in Table 2b). Other types of zero emissions energy may be considered on a case by case basis.</t>
  </si>
  <si>
    <t>2a. Fuels are used or other sources of direct emissions exist at the facility and/or facility has purchased heat, seam, or cooling</t>
  </si>
  <si>
    <t>Source/Fuel (fossil; non-biomass waste-to-energy; non-renewable; other GHG emissions)</t>
  </si>
  <si>
    <t>Total Quantity</t>
  </si>
  <si>
    <t>Units (select)</t>
  </si>
  <si>
    <t>Emissions Factor (tCO2e/unit of fuel per column c)</t>
  </si>
  <si>
    <t>Total Emissions (tCO2e)</t>
  </si>
  <si>
    <r>
      <t>Comments, including:
1. A</t>
    </r>
    <r>
      <rPr>
        <sz val="10"/>
        <color indexed="8"/>
        <rFont val="Verdana"/>
        <family val="2"/>
      </rPr>
      <t>llocation assumptions, 
2. Fuel use data sources</t>
    </r>
  </si>
  <si>
    <t>% Allocated to Product Final Manufacture</t>
  </si>
  <si>
    <t>Product Final Manufacture Emissions (tCO2e)</t>
  </si>
  <si>
    <t>i. Emissions from non-renewable energy sources</t>
  </si>
  <si>
    <t>Natural gas</t>
  </si>
  <si>
    <t>MWh (LHV)</t>
  </si>
  <si>
    <t>• Bills or similar evidence for at least one year for each fuel type
• If emissions factors other than those provided in this sheet are used, reference and rationale for using different factors.</t>
  </si>
  <si>
    <t>Liquefied petroleum distillates (LPG) including propane</t>
  </si>
  <si>
    <t>liter</t>
  </si>
  <si>
    <t>Motor gasoline</t>
  </si>
  <si>
    <t>Diesel</t>
  </si>
  <si>
    <t>Purchased heat or cooling</t>
  </si>
  <si>
    <t>[enter units]</t>
  </si>
  <si>
    <t>[enter factor]</t>
  </si>
  <si>
    <t>Sub-total:</t>
  </si>
  <si>
    <t>ii. Emissions from non-energy related source</t>
  </si>
  <si>
    <t>Methane emissions from water treatment pond</t>
  </si>
  <si>
    <t>metric ton COD</t>
  </si>
  <si>
    <t>[list all other sources (e.g., fugitive refrigerants, blowing agents)]</t>
  </si>
  <si>
    <t>Direct on-site emissions (non-renewable and other) and indirect emissions from purchased heat or cooling:</t>
  </si>
  <si>
    <t>Table 2b: Annual GHG emissions from on-site bioenergy and bioenergy credit calculation</t>
  </si>
  <si>
    <t>2b. Bioenergy and/or biofuels are used on-site (or are otherwise part of the final manufacturing stage)</t>
  </si>
  <si>
    <t>Source/Fuel (bioenergy)</t>
  </si>
  <si>
    <t>Unit (select)</t>
  </si>
  <si>
    <t>Emission Factor (tCO2e/unit of fuel)</t>
  </si>
  <si>
    <t>% Allocated to Product Final Manufacture (indicate method in table 2a)</t>
  </si>
  <si>
    <t>Bioenergy Credit (tC02)</t>
  </si>
  <si>
    <t>i. Bioenergy credit INELIGIBLE sources</t>
  </si>
  <si>
    <t>Wood (non-waste)</t>
  </si>
  <si>
    <t>metric ton</t>
  </si>
  <si>
    <t>Ethanol - from corn</t>
  </si>
  <si>
    <t>Total:</t>
  </si>
  <si>
    <t>ii. Bioenergy credit ELIGIBLE sources</t>
  </si>
  <si>
    <t>Per standard section 6.4: Bioenergy must be produced on site and any biofuels must be used directly to receive the bioenergy credit with the following exception: For the Bronze and Silver levels, 'green-gas' certificates may be employed to compensate for natural gas obtained through the standard gas grid. New (≤ 15 years) biogas installations within the same market region must be supported. If using biogas / green-gas certificates, report the amount of fossil natural gas used directly in this table and ALSO the amount of certificates purchased in table 2c.</t>
  </si>
  <si>
    <t>Landfill gas</t>
  </si>
  <si>
    <t>Same as above</t>
  </si>
  <si>
    <t>Water treatment methane / sludge gas / biogas</t>
  </si>
  <si>
    <t>Woody 'waste'</t>
  </si>
  <si>
    <t>Direct on-site emissions (bioenergy):</t>
  </si>
  <si>
    <t>Bioenergy credit total:</t>
  </si>
  <si>
    <t>Table 2c: Annual purchase of biogas certificates to compensate for natural gas reported in table 2a.
Note: This is an option at Bronze and Silver levels only</t>
  </si>
  <si>
    <t>2c. Biogas / green-gas certificates are employed</t>
  </si>
  <si>
    <t>Name and/or Description and Fuel Type</t>
  </si>
  <si>
    <t>Certifier or Verifier and Vendor</t>
  </si>
  <si>
    <t>Market &amp; Grid Region (must be in same market region as applicant)</t>
  </si>
  <si>
    <t>Facility Age (must be ≤15 years)</t>
  </si>
  <si>
    <t>Total Energy Attributes Purchased</t>
  </si>
  <si>
    <r>
      <t xml:space="preserve">Unit (select) - </t>
    </r>
    <r>
      <rPr>
        <b/>
        <sz val="10"/>
        <color theme="1"/>
        <rFont val="Verdana"/>
        <family val="2"/>
      </rPr>
      <t>Use the same units as for the natural gas</t>
    </r>
    <r>
      <rPr>
        <sz val="10"/>
        <color theme="1"/>
        <rFont val="Verdana"/>
        <family val="2"/>
      </rPr>
      <t xml:space="preserve"> reported in table 2a.</t>
    </r>
  </si>
  <si>
    <t>Product Relevant Energy Attributes (units per column G)</t>
  </si>
  <si>
    <t>Bioenergy Credit (tCO2)</t>
  </si>
  <si>
    <t>• Biogas certificate</t>
  </si>
  <si>
    <t>Table 2d: Purchased carbon offsets</t>
  </si>
  <si>
    <t>2d. Carbon offsets are purchased</t>
  </si>
  <si>
    <t>Offset Project Name</t>
  </si>
  <si>
    <t>Project Type</t>
  </si>
  <si>
    <t>Offset Standard</t>
  </si>
  <si>
    <t>Project Location</t>
  </si>
  <si>
    <t>Total Offsets Purchased (tCO2e)</t>
  </si>
  <si>
    <t>Product Relevant Offsets (tCO2e)</t>
  </si>
  <si>
    <t>• Carbon offset certificate or other evidence of purchase</t>
  </si>
  <si>
    <t>Table 2e: Annual investment in on-site emissions reduction projects
NOTE: This is an alternative at Bronze and Silver levels to achieving the targets via other means (e.g. via carbon offset purchase)</t>
  </si>
  <si>
    <t>2e. GHG emissions credit: investment in on-site emissions reduction project credit is claimed</t>
  </si>
  <si>
    <t>Project Name</t>
  </si>
  <si>
    <t>Cost of Project</t>
  </si>
  <si>
    <t>Carbon Offset Cost</t>
  </si>
  <si>
    <t>Credit Percentage (20% maximum)</t>
  </si>
  <si>
    <t xml:space="preserve">Comments including:
• Description of product
• Explanation regarding how it was determined that the project cost is ≥ cost of carbon offsets for the desired achievement level. </t>
  </si>
  <si>
    <t xml:space="preserve">• Cost estimate for offsets and evidence of investment made
• Reminder: This option is not automatically included in the achievement level check at the end of this spreadsheet. </t>
  </si>
  <si>
    <t>3b: Summary tables</t>
  </si>
  <si>
    <t>Table 3a: Renewable electricity - Product totals</t>
  </si>
  <si>
    <t>Table 3b: GHG emissions - Product totals, credits, and offset purchase summary</t>
  </si>
  <si>
    <t>Electricity Use</t>
  </si>
  <si>
    <t>On-site Emissions (and Indirect depending on response in table 1c)</t>
  </si>
  <si>
    <t>Total product relevant electricity use (MWh)</t>
  </si>
  <si>
    <t>Indirect emissions (attributable to purchased electricity) (tCO2e)</t>
  </si>
  <si>
    <t>Renewable electricity - grid mix (MWh)</t>
  </si>
  <si>
    <t>Direct ENERGY related emissions and indirect emissions from purchased heat/cooling 
(fossil; non-renewable) (tCO2e)</t>
  </si>
  <si>
    <t>Renewable electricity purchased through a utility or similar (MWh)</t>
  </si>
  <si>
    <t>Direct emissions from NON-ENERGY related sources (e.g., refrigerants, wastewater treatment)</t>
  </si>
  <si>
    <t>On-site renewable electricity (MWh)</t>
  </si>
  <si>
    <t>Direct emissions from bioenergy credit INELIGIBLE sources (tCO2e)</t>
  </si>
  <si>
    <t>Renewable electricity purchased through long-term PPA (same grid as facility)</t>
  </si>
  <si>
    <t>Direct emissions from bioenergy credit ELIGIBLE sources (tCO2e)</t>
  </si>
  <si>
    <t>Unbundled renewable electricity attribute certificates (RECs, GOs) - short-term</t>
  </si>
  <si>
    <t>Total excluding indirect emissions attributable to purchased electricity (tCO2e)</t>
  </si>
  <si>
    <t>Unbundled renewable electricity attribute certificates (RECs, GOs) - tied to long-term PPA (different grid with higher emissions rates)</t>
  </si>
  <si>
    <t>Total direct (and indirect, if included) emissions (tCO2e)</t>
  </si>
  <si>
    <t>Total renewable electricity (MWh)</t>
  </si>
  <si>
    <t>Bioenergy credit - on site (tCO2)</t>
  </si>
  <si>
    <t>Biogas / green-gas certificate credit (tCO2)</t>
  </si>
  <si>
    <t>Carbon offsets purchased (tCO2e)</t>
  </si>
  <si>
    <r>
      <t xml:space="preserve">Table 4: Clean Air &amp; Climate Protection achievement level check. Select desired achievement level at right </t>
    </r>
    <r>
      <rPr>
        <b/>
        <sz val="14"/>
        <color theme="0"/>
        <rFont val="Verdana"/>
        <family val="2"/>
      </rPr>
      <t>→</t>
    </r>
  </si>
  <si>
    <r>
      <t xml:space="preserve">Select desired achievement level </t>
    </r>
    <r>
      <rPr>
        <b/>
        <i/>
        <sz val="14"/>
        <color rgb="FF4B4B4B"/>
        <rFont val="Verdana"/>
        <family val="2"/>
      </rPr>
      <t>→</t>
    </r>
  </si>
  <si>
    <t>[Select Level]</t>
  </si>
  <si>
    <t>4. Achievement level check</t>
  </si>
  <si>
    <t>Desired Level Achieved for Table 3a Electricity?</t>
  </si>
  <si>
    <t>Desired Level Achieved for Table 3b emissions?</t>
  </si>
  <si>
    <t>% Renewable electricity and related credits</t>
  </si>
  <si>
    <t>Actual</t>
  </si>
  <si>
    <t>Required</t>
  </si>
  <si>
    <t>% Eligible for Bronze, Silver, and half of the Gold level target</t>
  </si>
  <si>
    <r>
      <t xml:space="preserve">Alternative: % Eligible for Bronze, Silver and Gold levels (relevant if 100% renewable is used at the </t>
    </r>
    <r>
      <rPr>
        <u/>
        <sz val="10"/>
        <color theme="1"/>
        <rFont val="Verdana"/>
        <family val="2"/>
      </rPr>
      <t>facility</t>
    </r>
    <r>
      <rPr>
        <sz val="10"/>
        <color theme="1"/>
        <rFont val="Verdana"/>
        <family val="2"/>
      </rPr>
      <t>)</t>
    </r>
  </si>
  <si>
    <t>% Eligible for all levels (including the other half of the Gold target and Platinum)</t>
  </si>
  <si>
    <t>Other credits:</t>
  </si>
  <si>
    <t>Financial donation credit (%)*</t>
  </si>
  <si>
    <t>Emissions reduction investment credit (%)*</t>
  </si>
  <si>
    <t>Performance improvement credit (%)*:</t>
  </si>
  <si>
    <t>*The performance improvement credit, financial donation credit, and emissions reduction investment credit are not otherwise included in this form or in the achievement level check. If claiming these credits, please provide a explanation regarding how the targets have been achieved and the required supporting documentation per the Cradle to Cradle Certified Version 4.0 Product Standard and User Guidance.</t>
  </si>
  <si>
    <t>Supplement to Table 3a-b and Table 4. 
Note: Does not account for use of the performance improvement credit, financial donation credit, or emissions reduction investment credit.</t>
  </si>
  <si>
    <t>Achievement level</t>
  </si>
  <si>
    <t>Desired level achieved for Table 3a electricity?</t>
  </si>
  <si>
    <t>Carbon offsets required to achieve:</t>
  </si>
  <si>
    <t>For indirect emissions (attributable to purchased electricity) (tCO2e)</t>
  </si>
  <si>
    <t>For all other emissions (tCO2e)</t>
  </si>
  <si>
    <t>Total carbon offsets required (tCO2e) without other credits</t>
  </si>
  <si>
    <t>Desired level achieved for Table 3b emissions?</t>
  </si>
  <si>
    <t>Extra offsets purchased</t>
  </si>
  <si>
    <t>Bronze</t>
  </si>
  <si>
    <t>Silver</t>
  </si>
  <si>
    <t>Gold</t>
  </si>
  <si>
    <t>Platinum</t>
  </si>
  <si>
    <t>Clean Air &amp; Climate Protection Worksheet</t>
  </si>
  <si>
    <t xml:space="preserve">Please use this sheet to provide additional information that does not fit on the first sheet. For example: 
- Allocation calculations,
- For recertification, tracking of actual electricity, emissions, renewable procurement and carbon offset purchases, etc. over time (i.e. over the prior certification period). You may also copy the Energy &amp; GHGs sheet if you wish to provide more than one year of data in that format. </t>
  </si>
  <si>
    <t>Clean Air &amp; Climate Protection - Quantifying and Using Renewable Electricity and Addressing Greenhouse Gas Emissions in Final Manufacturing</t>
  </si>
  <si>
    <t>The information below is provided for reference. These are the Clean Air &amp; Climate protection targets as listed in Section 6.4 of the Cradle to Cradle Certifed Version 4.0 Product Standard</t>
  </si>
  <si>
    <t>Renewable Electricity and Greenhouse Gas Emissions Targets</t>
  </si>
  <si>
    <t>There are separate targets applicable to (1) electricity, including purchased electricity and on-site renewable electricity, and (2) greenhouse gas emissions from other scope 1 and 2 sources. One or more of the methods listed below may be applied toward achieving the targets. For example, if the renewable electricity target for a given achievement level has been partially met, then one or more of the other listed methods may be used to achieve the remainder of the target. See the supplementary sub-sections below for additional requirements pertaining to the accepted methods. The targets below apply to the final manufacturing stage of the product unless otherwise noted.</t>
  </si>
  <si>
    <t>For the Bronze level:</t>
  </si>
  <si>
    <r>
      <t>1.</t>
    </r>
    <r>
      <rPr>
        <sz val="7"/>
        <color rgb="FF231F20"/>
        <rFont val="Verdana"/>
        <family val="2"/>
      </rPr>
      <t xml:space="preserve">     </t>
    </r>
    <r>
      <rPr>
        <sz val="10"/>
        <color rgb="FF231F20"/>
        <rFont val="Verdana"/>
        <family val="2"/>
      </rPr>
      <t>For electricity (including purchased electricity resulting in scope 2 emissions and on-site renewable electricity):</t>
    </r>
  </si>
  <si>
    <r>
      <t>a.</t>
    </r>
    <r>
      <rPr>
        <sz val="7"/>
        <color rgb="FF231F20"/>
        <rFont val="Verdana"/>
        <family val="2"/>
      </rPr>
      <t xml:space="preserve">     </t>
    </r>
    <r>
      <rPr>
        <sz val="10"/>
        <color rgb="FF231F20"/>
        <rFont val="Verdana"/>
        <family val="2"/>
      </rPr>
      <t>Procure or produce renewable electricity to match 5% of the electricity used (Note: Renewable electricity that is part of a utility’s default offer receives credit only if there is no voluntary renewable electricity market in the applicable market region),</t>
    </r>
  </si>
  <si>
    <r>
      <t>b.</t>
    </r>
    <r>
      <rPr>
        <sz val="7"/>
        <color rgb="FF231F20"/>
        <rFont val="Verdana"/>
        <family val="2"/>
      </rPr>
      <t xml:space="preserve">     </t>
    </r>
    <r>
      <rPr>
        <sz val="10"/>
        <color rgb="FF231F20"/>
        <rFont val="Verdana"/>
        <family val="2"/>
      </rPr>
      <t>Provide financial support to a climate-relevant public policy initiative (must be valued at 2x the cost of purchasing renewable electricity attribute certificates or other voluntary purchase matching 5% of the electricity used),</t>
    </r>
  </si>
  <si>
    <r>
      <t>c.</t>
    </r>
    <r>
      <rPr>
        <sz val="7"/>
        <color rgb="FF231F20"/>
        <rFont val="Verdana"/>
        <family val="2"/>
      </rPr>
      <t xml:space="preserve">      </t>
    </r>
    <r>
      <rPr>
        <sz val="10"/>
        <color rgb="FF231F20"/>
        <rFont val="Verdana"/>
        <family val="2"/>
      </rPr>
      <t>Purchase carbon offsets to compensate for 5% of the resulting greenhouse gas emissions, or</t>
    </r>
  </si>
  <si>
    <r>
      <t>d.</t>
    </r>
    <r>
      <rPr>
        <sz val="7"/>
        <color rgb="FF231F20"/>
        <rFont val="Verdana"/>
        <family val="2"/>
      </rPr>
      <t xml:space="preserve">     </t>
    </r>
    <r>
      <rPr>
        <sz val="10"/>
        <color rgb="FF231F20"/>
        <rFont val="Verdana"/>
        <family val="2"/>
      </rPr>
      <t>Improve performance by 5% (i.e., reduce electricity use intensity and/or the associated greenhouse gas emissions intensity by 5%).</t>
    </r>
  </si>
  <si>
    <r>
      <t>2.</t>
    </r>
    <r>
      <rPr>
        <sz val="7"/>
        <color rgb="FF231F20"/>
        <rFont val="Verdana"/>
        <family val="2"/>
      </rPr>
      <t xml:space="preserve">     </t>
    </r>
    <r>
      <rPr>
        <sz val="10"/>
        <color rgb="FF231F20"/>
        <rFont val="Verdana"/>
        <family val="2"/>
      </rPr>
      <t>For all other greenhouse gas emissions sources (including all scope 1/direct and other scope 2/ indirect emissions):</t>
    </r>
  </si>
  <si>
    <r>
      <t>a.</t>
    </r>
    <r>
      <rPr>
        <sz val="7"/>
        <color rgb="FF231F20"/>
        <rFont val="Verdana"/>
        <family val="2"/>
      </rPr>
      <t xml:space="preserve">     </t>
    </r>
    <r>
      <rPr>
        <sz val="10"/>
        <color rgb="FF231F20"/>
        <rFont val="Verdana"/>
        <family val="2"/>
      </rPr>
      <t>Use eligible sources of bioenergy, achieving the bioenergy credit for 5% of total greenhouse gas emissions,</t>
    </r>
  </si>
  <si>
    <r>
      <t>b.</t>
    </r>
    <r>
      <rPr>
        <sz val="7"/>
        <color rgb="FF231F20"/>
        <rFont val="Verdana"/>
        <family val="2"/>
      </rPr>
      <t xml:space="preserve">     </t>
    </r>
    <r>
      <rPr>
        <sz val="10"/>
        <color rgb="FF231F20"/>
        <rFont val="Verdana"/>
        <family val="2"/>
      </rPr>
      <t>Purchase carbon offsets to compensate for 5% of the resulting greenhouse gas emissions,</t>
    </r>
  </si>
  <si>
    <r>
      <t>c.</t>
    </r>
    <r>
      <rPr>
        <sz val="7"/>
        <color rgb="FF231F20"/>
        <rFont val="Verdana"/>
        <family val="2"/>
      </rPr>
      <t xml:space="preserve">      </t>
    </r>
    <r>
      <rPr>
        <sz val="10"/>
        <color rgb="FF231F20"/>
        <rFont val="Verdana"/>
        <family val="2"/>
      </rPr>
      <t>Invest in on-site emissions reductions projects (must be of an equivalent value to carbon offsets compensating for 5% of emissions), or</t>
    </r>
  </si>
  <si>
    <r>
      <t>d.</t>
    </r>
    <r>
      <rPr>
        <sz val="7"/>
        <color rgb="FF231F20"/>
        <rFont val="Verdana"/>
        <family val="2"/>
      </rPr>
      <t xml:space="preserve">     </t>
    </r>
    <r>
      <rPr>
        <sz val="10"/>
        <color rgb="FF231F20"/>
        <rFont val="Verdana"/>
        <family val="2"/>
      </rPr>
      <t xml:space="preserve">Improve performance by 5% (i.e., reduce greenhouse gas emissions intensity by 5%). </t>
    </r>
  </si>
  <si>
    <t>For the Silver level:</t>
  </si>
  <si>
    <r>
      <t>a.</t>
    </r>
    <r>
      <rPr>
        <sz val="7"/>
        <color rgb="FF231F20"/>
        <rFont val="Verdana"/>
        <family val="2"/>
      </rPr>
      <t xml:space="preserve">     </t>
    </r>
    <r>
      <rPr>
        <sz val="10"/>
        <color rgb="FF231F20"/>
        <rFont val="Verdana"/>
        <family val="2"/>
      </rPr>
      <t>Procure or produce renewable electricity to match 20% of the electricity used (Note: Renewable electricity that is part of a utility’s default offer receives credit only if there is no voluntary renewable electricity market in the applicable market region),</t>
    </r>
  </si>
  <si>
    <r>
      <t>b.</t>
    </r>
    <r>
      <rPr>
        <sz val="7"/>
        <color rgb="FF231F20"/>
        <rFont val="Verdana"/>
        <family val="2"/>
      </rPr>
      <t xml:space="preserve">     </t>
    </r>
    <r>
      <rPr>
        <sz val="10"/>
        <color rgb="FF231F20"/>
        <rFont val="Verdana"/>
        <family val="2"/>
      </rPr>
      <t>Purchase carbon offsets to compensate for 20% of the resulting greenhouse gas emissions,</t>
    </r>
  </si>
  <si>
    <r>
      <t>c.</t>
    </r>
    <r>
      <rPr>
        <sz val="7"/>
        <color rgb="FF231F20"/>
        <rFont val="Verdana"/>
        <family val="2"/>
      </rPr>
      <t xml:space="preserve">      </t>
    </r>
    <r>
      <rPr>
        <sz val="10"/>
        <color rgb="FF231F20"/>
        <rFont val="Verdana"/>
        <family val="2"/>
      </rPr>
      <t>Provide financial support (valued at 2x the cost of renewable electricity attribute certificates or other voluntary purchase option matching 20% of the electricity used) to a climate-relevant public policy initiative,</t>
    </r>
  </si>
  <si>
    <r>
      <t>d.</t>
    </r>
    <r>
      <rPr>
        <sz val="7"/>
        <color rgb="FF231F20"/>
        <rFont val="Verdana"/>
        <family val="2"/>
      </rPr>
      <t xml:space="preserve">     </t>
    </r>
    <r>
      <rPr>
        <sz val="10"/>
        <color rgb="FF231F20"/>
        <rFont val="Verdana"/>
        <family val="2"/>
      </rPr>
      <t>Improve performance by 20% (i.e., reduce electricity use intensity and/or greenhouse gas emissions intensity by 20%) and reduce absolute emissions per science-based targets, or</t>
    </r>
  </si>
  <si>
    <r>
      <t>e.</t>
    </r>
    <r>
      <rPr>
        <sz val="7"/>
        <color rgb="FF231F20"/>
        <rFont val="Verdana"/>
        <family val="2"/>
      </rPr>
      <t xml:space="preserve">     </t>
    </r>
    <r>
      <rPr>
        <sz val="10"/>
        <color rgb="FF231F20"/>
        <rFont val="Verdana"/>
        <family val="2"/>
      </rPr>
      <t>Improve performance by up to 10% and meet the remainder of the 20% target via the other accepted method(s).</t>
    </r>
  </si>
  <si>
    <r>
      <t>a.</t>
    </r>
    <r>
      <rPr>
        <sz val="7"/>
        <color rgb="FF231F20"/>
        <rFont val="Verdana"/>
        <family val="2"/>
      </rPr>
      <t xml:space="preserve">     </t>
    </r>
    <r>
      <rPr>
        <sz val="10"/>
        <color rgb="FF231F20"/>
        <rFont val="Verdana"/>
        <family val="2"/>
      </rPr>
      <t>Use eligible sources of bioenergy, achieving the bioenergy credit for 20% of total greenhouse gas emissions,</t>
    </r>
  </si>
  <si>
    <r>
      <t>b.</t>
    </r>
    <r>
      <rPr>
        <sz val="7"/>
        <color rgb="FF231F20"/>
        <rFont val="Verdana"/>
        <family val="2"/>
      </rPr>
      <t xml:space="preserve">     </t>
    </r>
    <r>
      <rPr>
        <sz val="10"/>
        <color rgb="FF231F20"/>
        <rFont val="Verdana"/>
        <family val="2"/>
      </rPr>
      <t>Purchase carbon offsets to compensate for 20% of greenhouse gas emissions,</t>
    </r>
  </si>
  <si>
    <r>
      <t>c.</t>
    </r>
    <r>
      <rPr>
        <sz val="7"/>
        <color rgb="FF231F20"/>
        <rFont val="Verdana"/>
        <family val="2"/>
      </rPr>
      <t xml:space="preserve">      </t>
    </r>
    <r>
      <rPr>
        <sz val="10"/>
        <color rgb="FF231F20"/>
        <rFont val="Verdana"/>
        <family val="2"/>
      </rPr>
      <t>Invest in on-site emissions reductions projects, for example, purchase more energy efficient equipment (must be of an equivalent value to carbon offsets compensating for 20% of emissions),</t>
    </r>
  </si>
  <si>
    <r>
      <t>d.</t>
    </r>
    <r>
      <rPr>
        <sz val="7"/>
        <color rgb="FF231F20"/>
        <rFont val="Verdana"/>
        <family val="2"/>
      </rPr>
      <t xml:space="preserve">     </t>
    </r>
    <r>
      <rPr>
        <sz val="10"/>
        <color rgb="FF231F20"/>
        <rFont val="Verdana"/>
        <family val="2"/>
      </rPr>
      <t>Improve performance by 20% (i.e., reduce greenhouse gas emissions intensity by 20%) and reduce absolute emissions per science-based targets, or</t>
    </r>
  </si>
  <si>
    <t>Alternative to #1 and #2: Achieve the embodied emissions target required at the Gold level (see Section 6.8 Addressing Embodied Greenhouse Gas Emissions for further detail).</t>
  </si>
  <si>
    <t>For the Gold level:</t>
  </si>
  <si>
    <r>
      <t>a.</t>
    </r>
    <r>
      <rPr>
        <sz val="7"/>
        <color rgb="FF231F20"/>
        <rFont val="Verdana"/>
        <family val="2"/>
      </rPr>
      <t xml:space="preserve">     </t>
    </r>
    <r>
      <rPr>
        <sz val="10"/>
        <color rgb="FF231F20"/>
        <rFont val="Verdana"/>
        <family val="2"/>
      </rPr>
      <t>Procure or produce renewable electricity to match 50% of the electricity used, producing at least half of the 50% (i.e., 25% of the total electricity used) on site and/or procuring half through long-term power purchase agreements (PPAs) supporting new renewable electricity installations (Note: Renewable electricity that is part of a utility’s default offer receives credit for the other 25% only if there is no voluntary renewable electricity market in the applicable market region),</t>
    </r>
  </si>
  <si>
    <r>
      <t>b.</t>
    </r>
    <r>
      <rPr>
        <sz val="7"/>
        <color rgb="FF231F20"/>
        <rFont val="Verdana"/>
        <family val="2"/>
      </rPr>
      <t xml:space="preserve">     </t>
    </r>
    <r>
      <rPr>
        <sz val="10"/>
        <color rgb="FF231F20"/>
        <rFont val="Verdana"/>
        <family val="2"/>
      </rPr>
      <t>Procure renewable electricity to match 100% of the electricity used at all final manufacturing stage facilities (Note: This is a facility level requirement rather than a final manufacturing stage requirement),</t>
    </r>
  </si>
  <si>
    <r>
      <t>c.</t>
    </r>
    <r>
      <rPr>
        <sz val="7"/>
        <color rgb="FF231F20"/>
        <rFont val="Verdana"/>
        <family val="2"/>
      </rPr>
      <t xml:space="preserve">      </t>
    </r>
    <r>
      <rPr>
        <sz val="10"/>
        <color rgb="FF231F20"/>
        <rFont val="Verdana"/>
        <family val="2"/>
      </rPr>
      <t>Purchase carbon offsets to compensate for 50% of the resulting greenhouse gas emissions,</t>
    </r>
  </si>
  <si>
    <r>
      <t>d.</t>
    </r>
    <r>
      <rPr>
        <sz val="7"/>
        <color rgb="FF231F20"/>
        <rFont val="Verdana"/>
        <family val="2"/>
      </rPr>
      <t xml:space="preserve">     </t>
    </r>
    <r>
      <rPr>
        <sz val="10"/>
        <color rgb="FF231F20"/>
        <rFont val="Verdana"/>
        <family val="2"/>
      </rPr>
      <t>Provide financial support (valued at 2x the cost of renewable electricity attribute certificates or other voluntary purchase option matching 25% of the electricity used) to a climate-relevant public policy initiative and meet the remainder of the 50% target (25%) via the other accepted method(s) (Note: This option may not be used as an alternative to achieving the on-site or PPA requirements), or</t>
    </r>
  </si>
  <si>
    <r>
      <t>e.</t>
    </r>
    <r>
      <rPr>
        <sz val="7"/>
        <color rgb="FF231F20"/>
        <rFont val="Verdana"/>
        <family val="2"/>
      </rPr>
      <t xml:space="preserve">     </t>
    </r>
    <r>
      <rPr>
        <sz val="10"/>
        <color rgb="FF231F20"/>
        <rFont val="Verdana"/>
        <family val="2"/>
      </rPr>
      <t>Improve performance by up to 12.5% (i.e., reduce electricity use intensity and/or the associated greenhouse gas emissions intensity by 12.5%) and meet the remainder of the 50% target via the other accepted method(s).</t>
    </r>
  </si>
  <si>
    <r>
      <t>a.</t>
    </r>
    <r>
      <rPr>
        <sz val="7"/>
        <color rgb="FF231F20"/>
        <rFont val="Verdana"/>
        <family val="2"/>
      </rPr>
      <t xml:space="preserve">     </t>
    </r>
    <r>
      <rPr>
        <sz val="10"/>
        <color rgb="FF231F20"/>
        <rFont val="Verdana"/>
        <family val="2"/>
      </rPr>
      <t>Use eligible sources of bioenergy, achieving the bioenergy credit for 50% of total greenhouse gas emissions,</t>
    </r>
  </si>
  <si>
    <r>
      <t>b.</t>
    </r>
    <r>
      <rPr>
        <sz val="7"/>
        <color rgb="FF231F20"/>
        <rFont val="Verdana"/>
        <family val="2"/>
      </rPr>
      <t xml:space="preserve">     </t>
    </r>
    <r>
      <rPr>
        <sz val="10"/>
        <color rgb="FF231F20"/>
        <rFont val="Verdana"/>
        <family val="2"/>
      </rPr>
      <t>Purchase carbon offsets to compensate for 50% of greenhouse gas emissions, or</t>
    </r>
  </si>
  <si>
    <r>
      <t>c.</t>
    </r>
    <r>
      <rPr>
        <sz val="7"/>
        <color rgb="FF231F20"/>
        <rFont val="Verdana"/>
        <family val="2"/>
      </rPr>
      <t xml:space="preserve">      </t>
    </r>
    <r>
      <rPr>
        <sz val="10"/>
        <color rgb="FF231F20"/>
        <rFont val="Verdana"/>
        <family val="2"/>
      </rPr>
      <t>Improve performance by up to 12.5% (i.e., reduce greenhouse gas emissions intensity by 12.5%) and meet the remainder of the 50% target via other accepted method(s).</t>
    </r>
  </si>
  <si>
    <t>For the Platinum level:</t>
  </si>
  <si>
    <r>
      <t>1.</t>
    </r>
    <r>
      <rPr>
        <sz val="7"/>
        <color rgb="FF231F20"/>
        <rFont val="Verdana"/>
        <family val="2"/>
      </rPr>
      <t xml:space="preserve">     </t>
    </r>
    <r>
      <rPr>
        <sz val="10"/>
        <color rgb="FF231F20"/>
        <rFont val="Verdana"/>
        <family val="2"/>
      </rPr>
      <t>Procure or produce &gt; 100% of the electricity used, producing the electricity on site and/or procuring through long-term power purchase agreements supporting new renewable electricity installations,</t>
    </r>
  </si>
  <si>
    <r>
      <t>2.</t>
    </r>
    <r>
      <rPr>
        <sz val="7"/>
        <color rgb="FF231F20"/>
        <rFont val="Verdana"/>
        <family val="2"/>
      </rPr>
      <t xml:space="preserve">     </t>
    </r>
    <r>
      <rPr>
        <sz val="10"/>
        <color rgb="FF231F20"/>
        <rFont val="Verdana"/>
        <family val="2"/>
      </rPr>
      <t>Use eligible sources of bioenergy for other on-site energy demands (if any) (Note: Other energy sources (e.g., hydrogen) will be considered on a case-by-case basis), and</t>
    </r>
  </si>
  <si>
    <r>
      <t>3.</t>
    </r>
    <r>
      <rPr>
        <sz val="7"/>
        <color rgb="FF231F20"/>
        <rFont val="Verdana"/>
        <family val="2"/>
      </rPr>
      <t xml:space="preserve">     </t>
    </r>
    <r>
      <rPr>
        <sz val="10"/>
        <color rgb="FF231F20"/>
        <rFont val="Verdana"/>
        <family val="2"/>
      </rPr>
      <t>Purchase carbon offsets to compensate for &gt; 100% of greenhouse gas emissions from non-energy sources and/or from bioenergy receiving partial credit (if any).</t>
    </r>
  </si>
  <si>
    <t>Note: The Platinum level goal is to fully electrify, use renewable electricity for total energy demand, and to use carbon offsets only to address any emissions from non-energy sources. However, if the physical infrastructure and/or the political situation do not allow for this, exceptions may be made on a case-by-case basis, allowing for the use of carbon offsets to address greenhouse gas emissions resulting from purchased electricity and/or burning of fuels on site.</t>
  </si>
  <si>
    <t>CO2e Emission Factors for Common Fuels and Units</t>
  </si>
  <si>
    <t>CO2e Emissions Factors for Purchased Electricity - United States</t>
  </si>
  <si>
    <t>CO2e Emissions Factors for EU countries and nuclear share for all countries</t>
  </si>
  <si>
    <r>
      <t xml:space="preserve">The factors below were taken from: </t>
    </r>
    <r>
      <rPr>
        <b/>
        <sz val="10"/>
        <color theme="1"/>
        <rFont val="Verdana"/>
        <family val="2"/>
      </rPr>
      <t xml:space="preserve">World Resources Institute (2015), GHG Protocol tool for stationary combustion, Version 4.1 unless otherwise noted in the comments. </t>
    </r>
    <r>
      <rPr>
        <sz val="10"/>
        <color theme="1"/>
        <rFont val="Verdana"/>
        <family val="2"/>
      </rPr>
      <t>Please refer to this reference (or similar more recent versions) for factors relevant to additional fuel types and for further information. Factors listed below are based on the 2014 IPCC Fifth Assessment Report and are for the Manufacturing sector.</t>
    </r>
  </si>
  <si>
    <r>
      <t xml:space="preserve">Factors for the United States listed below are sourced from the United States Environmental Protection Agency, eGRID summary Tables, 2019. </t>
    </r>
    <r>
      <rPr>
        <b/>
        <sz val="10"/>
        <color theme="1"/>
        <rFont val="Verdana"/>
        <family val="2"/>
      </rPr>
      <t xml:space="preserve">Emissions factors for other locations are available from the International Energy Agency. </t>
    </r>
    <r>
      <rPr>
        <sz val="10"/>
        <color theme="1"/>
        <rFont val="Verdana"/>
        <family val="2"/>
      </rPr>
      <t>C2CPII is not able to directly provide these other factors due to IEA licensing requirements.</t>
    </r>
  </si>
  <si>
    <t>Link to eGrid map</t>
  </si>
  <si>
    <t>Pick lists</t>
  </si>
  <si>
    <t>Fuel</t>
  </si>
  <si>
    <t>Fuel units</t>
  </si>
  <si>
    <t>CO2e emissions factor</t>
  </si>
  <si>
    <t>Factor units</t>
  </si>
  <si>
    <t>bioenergy credit/unit: (tC02/unit)*bioenergy credit multiplier</t>
  </si>
  <si>
    <t>US eGRID subregion acronym</t>
  </si>
  <si>
    <t xml:space="preserve">US eGRID subregion name </t>
  </si>
  <si>
    <t>2019 Total lb-CO2e/MWh</t>
  </si>
  <si>
    <t>2019 Total output emissions rates metric tons CO2e/MWh (use for location based reporting)</t>
  </si>
  <si>
    <t>2019 Green-e Energy Residual Mix Emissions Rates
lb-CO2e/MWh</t>
  </si>
  <si>
    <t>2019 Green-e Energy Residual Mix Emissions Rates tons CO2e/MWh (use if buying carbon offsets for scope 2)</t>
  </si>
  <si>
    <t>Country code</t>
  </si>
  <si>
    <t>Country</t>
  </si>
  <si>
    <t>2021 % nuclear share</t>
  </si>
  <si>
    <t>Production mix, 2019 (use for location based reporting) metric ton CO2/MWh</t>
  </si>
  <si>
    <t>Direct GWP, 2019 (residual mix) metric ton CO2/MWh</t>
  </si>
  <si>
    <t>Direct GWP, 2018 (residual mix) (metric ton CO2/MWh)</t>
  </si>
  <si>
    <t>Level</t>
  </si>
  <si>
    <t>% Eligible for Bronze, Silver, and half of Gold level target</t>
  </si>
  <si>
    <t>% Eligible for Bronze, Silver and Gold levels</t>
  </si>
  <si>
    <t>% Eligible for all levels (including Platinum)</t>
  </si>
  <si>
    <t>% Eligible for Bronze and Silver levels</t>
  </si>
  <si>
    <t>Allocation method</t>
  </si>
  <si>
    <t>natural gas</t>
  </si>
  <si>
    <t>m3</t>
  </si>
  <si>
    <t>tCO2e/m3</t>
  </si>
  <si>
    <t>kWh (LHV)</t>
  </si>
  <si>
    <t>tCO2e/kWh</t>
  </si>
  <si>
    <t>AKGD</t>
  </si>
  <si>
    <t>ASCC Alaska Grid</t>
  </si>
  <si>
    <t>Albania</t>
  </si>
  <si>
    <t>No allocation - all data are at the facility level</t>
  </si>
  <si>
    <t>tCO2e/MWh</t>
  </si>
  <si>
    <t>AKMS</t>
  </si>
  <si>
    <t>ASCC Miscellaneous</t>
  </si>
  <si>
    <t>Algeria</t>
  </si>
  <si>
    <t>Allocation is by weight</t>
  </si>
  <si>
    <t>kWh (HHV)</t>
  </si>
  <si>
    <t>AZNM</t>
  </si>
  <si>
    <t>WECC Southwest</t>
  </si>
  <si>
    <t>Angola</t>
  </si>
  <si>
    <t>Allocation is by volume</t>
  </si>
  <si>
    <t>MWh (HHV)</t>
  </si>
  <si>
    <t>CAMX</t>
  </si>
  <si>
    <t>WECC California</t>
  </si>
  <si>
    <t>Argentina</t>
  </si>
  <si>
    <t>Allocation is by number of units</t>
  </si>
  <si>
    <t>ccf</t>
  </si>
  <si>
    <t>tCO2e/ccf</t>
  </si>
  <si>
    <t>ERCT</t>
  </si>
  <si>
    <t>ERCOT All</t>
  </si>
  <si>
    <t>Armenia</t>
  </si>
  <si>
    <t>Allocation is by sales value</t>
  </si>
  <si>
    <t>mcf</t>
  </si>
  <si>
    <t>tCO2e/mcf</t>
  </si>
  <si>
    <t>FRCC</t>
  </si>
  <si>
    <t>FRCC All</t>
  </si>
  <si>
    <t>Australia</t>
  </si>
  <si>
    <t>Allocation is per Inline metering</t>
  </si>
  <si>
    <t>mmBtu (LHV)</t>
  </si>
  <si>
    <t>tCO2e/mmBtu</t>
  </si>
  <si>
    <t>HIMS</t>
  </si>
  <si>
    <t>HICC Miscellaneous</t>
  </si>
  <si>
    <t>AT</t>
  </si>
  <si>
    <t>Austria</t>
  </si>
  <si>
    <t>ask utility for factor</t>
  </si>
  <si>
    <t>Other - An explanation of the allocation method is provided</t>
  </si>
  <si>
    <t>mmBtu (HHV)</t>
  </si>
  <si>
    <t>HIOA</t>
  </si>
  <si>
    <t>HICC Oahu</t>
  </si>
  <si>
    <t>Azerbaijan</t>
  </si>
  <si>
    <t>€</t>
  </si>
  <si>
    <t>therm (LHV)</t>
  </si>
  <si>
    <t>tCO2e/therm</t>
  </si>
  <si>
    <t>MROE</t>
  </si>
  <si>
    <t>MRO East</t>
  </si>
  <si>
    <t>Bahrain</t>
  </si>
  <si>
    <t>US$</t>
  </si>
  <si>
    <t>therm (HHV)</t>
  </si>
  <si>
    <t>MROW</t>
  </si>
  <si>
    <t>MRO West</t>
  </si>
  <si>
    <t>Bangladesh</t>
  </si>
  <si>
    <t>liquefied petroleum distillates (LPG) including propane</t>
  </si>
  <si>
    <t>tCO2e/liter</t>
  </si>
  <si>
    <t>NEWE</t>
  </si>
  <si>
    <t>NPCC New England</t>
  </si>
  <si>
    <t>Belarus</t>
  </si>
  <si>
    <t>gallon</t>
  </si>
  <si>
    <t>tCO2e/gallon</t>
  </si>
  <si>
    <t>NWPP</t>
  </si>
  <si>
    <t>WECC Northwest</t>
  </si>
  <si>
    <t>BE</t>
  </si>
  <si>
    <t>Belgium</t>
  </si>
  <si>
    <t>motor gasoline</t>
  </si>
  <si>
    <t>NYCW</t>
  </si>
  <si>
    <t>NPCC NYC/Westchester</t>
  </si>
  <si>
    <t>Benin</t>
  </si>
  <si>
    <t>Yes</t>
  </si>
  <si>
    <t>NYLI</t>
  </si>
  <si>
    <t>NPCC Long Island</t>
  </si>
  <si>
    <t>Bolivia</t>
  </si>
  <si>
    <t>diesel</t>
  </si>
  <si>
    <t>NYUP</t>
  </si>
  <si>
    <t>NPCC Upstate NY</t>
  </si>
  <si>
    <t>Bosnia and Herzegovina</t>
  </si>
  <si>
    <t>PRMS</t>
  </si>
  <si>
    <t>Puerto Rico Miscellaneous</t>
  </si>
  <si>
    <t>Botswana</t>
  </si>
  <si>
    <t>wood</t>
  </si>
  <si>
    <t>kg</t>
  </si>
  <si>
    <t>tCO2e/kg</t>
  </si>
  <si>
    <t>RFCE</t>
  </si>
  <si>
    <t>RFC East</t>
  </si>
  <si>
    <t>Brazil</t>
  </si>
  <si>
    <t>tCO2e/t</t>
  </si>
  <si>
    <t>RFCM</t>
  </si>
  <si>
    <t>RFC Michigan</t>
  </si>
  <si>
    <t>Brunei Darussalam</t>
  </si>
  <si>
    <t>landfill gas / sudge gas / biogas</t>
  </si>
  <si>
    <t>RFCW</t>
  </si>
  <si>
    <t>RFC West</t>
  </si>
  <si>
    <t>BG</t>
  </si>
  <si>
    <t>Bulgaria</t>
  </si>
  <si>
    <t>RMPA</t>
  </si>
  <si>
    <t>WECC Rockies</t>
  </si>
  <si>
    <t>Cambodia</t>
  </si>
  <si>
    <t>woody 'waste'</t>
  </si>
  <si>
    <t>SPNO</t>
  </si>
  <si>
    <t>SPP North</t>
  </si>
  <si>
    <t>Cameroon</t>
  </si>
  <si>
    <t>SPSO</t>
  </si>
  <si>
    <t>SPP South</t>
  </si>
  <si>
    <t>Canada</t>
  </si>
  <si>
    <t>SRMV</t>
  </si>
  <si>
    <t>SERC Mississippi Valley</t>
  </si>
  <si>
    <t>Chile</t>
  </si>
  <si>
    <t>agricultural crop residue (non-food)</t>
  </si>
  <si>
    <t>SRMW</t>
  </si>
  <si>
    <t>SERC Midwest</t>
  </si>
  <si>
    <t>China</t>
  </si>
  <si>
    <t>SRSO</t>
  </si>
  <si>
    <t>SERC South</t>
  </si>
  <si>
    <t>Colombia</t>
  </si>
  <si>
    <t>Note regarding heating values: "When determining fuel heat content or tracking fuel use data in energy units, it is important to distinguish between lower heating values (LHV) and higher heating values (HHV), also called net calorific value and gross calorific value, respectively. Heating values describe the amount of energy released when a fuel is burned completely, and LHV and HHV are different methods to measure the amount of energy released. A given fuel, therefore, always has both a LHV and a HHV. The LHV assumes that the steam released during combustion remains as a gas. The HHV assumes that the steam is condensed to a liquid, thus releasing more energy. HHV is typically used in the U.S. and in Canada, while other countries typically use LHV." Source: Greenhouse Gas Inventory Guidance
Direct Emissions from Mobile Combustion Sources, US EPA Center for Corporate Climate Leadership, 2016.
https://www.epa.gov/sites/production/files/2016-03/documents/mobileemissions_3_2016.pdf</t>
  </si>
  <si>
    <t>SRTV</t>
  </si>
  <si>
    <t>SERC Tennessee Valley</t>
  </si>
  <si>
    <t>Congo</t>
  </si>
  <si>
    <t>SRVC</t>
  </si>
  <si>
    <t>SERC Virginia/Carolina</t>
  </si>
  <si>
    <t>Costa Rica</t>
  </si>
  <si>
    <t>Côte d'Ivoire</t>
  </si>
  <si>
    <t>HR</t>
  </si>
  <si>
    <t>Croatia</t>
  </si>
  <si>
    <t>Cuba</t>
  </si>
  <si>
    <t>CY</t>
  </si>
  <si>
    <t>Cyprus</t>
  </si>
  <si>
    <t>CZ</t>
  </si>
  <si>
    <t>Czech Republic</t>
  </si>
  <si>
    <t>Dem. People's Republic of Korea</t>
  </si>
  <si>
    <t>Democratic Republic of Congo</t>
  </si>
  <si>
    <t>DK</t>
  </si>
  <si>
    <t>Denmark</t>
  </si>
  <si>
    <t>Dominican Republic</t>
  </si>
  <si>
    <t>Ecuador</t>
  </si>
  <si>
    <t>Egypt</t>
  </si>
  <si>
    <t>El Salvador</t>
  </si>
  <si>
    <t>Eritrea</t>
  </si>
  <si>
    <t>EE</t>
  </si>
  <si>
    <t>Estonia</t>
  </si>
  <si>
    <t>Ethiopia</t>
  </si>
  <si>
    <t>FL</t>
  </si>
  <si>
    <t>Finland</t>
  </si>
  <si>
    <t>FR</t>
  </si>
  <si>
    <t>France</t>
  </si>
  <si>
    <t>Gabon</t>
  </si>
  <si>
    <t>Georgia</t>
  </si>
  <si>
    <t>DE</t>
  </si>
  <si>
    <t>Germany</t>
  </si>
  <si>
    <t>Ghana</t>
  </si>
  <si>
    <t>Gibraltar</t>
  </si>
  <si>
    <t>GR/ EL</t>
  </si>
  <si>
    <t>Greece</t>
  </si>
  <si>
    <t>Guatemala</t>
  </si>
  <si>
    <t>Haiti</t>
  </si>
  <si>
    <t>Honduras</t>
  </si>
  <si>
    <t>Hong Kong, China</t>
  </si>
  <si>
    <t>HU</t>
  </si>
  <si>
    <t>Hungary</t>
  </si>
  <si>
    <t>IS</t>
  </si>
  <si>
    <t>Iceland</t>
  </si>
  <si>
    <t>India</t>
  </si>
  <si>
    <t>Indonesia</t>
  </si>
  <si>
    <t>Iraq</t>
  </si>
  <si>
    <t>IE</t>
  </si>
  <si>
    <t>Ireland</t>
  </si>
  <si>
    <t>Islamic Republic of Iran</t>
  </si>
  <si>
    <t>Israel</t>
  </si>
  <si>
    <t>IT</t>
  </si>
  <si>
    <t>Italy</t>
  </si>
  <si>
    <t>Jamaica</t>
  </si>
  <si>
    <t>Japan</t>
  </si>
  <si>
    <t>Jordan</t>
  </si>
  <si>
    <t>Kazakhstan</t>
  </si>
  <si>
    <t>Kenya</t>
  </si>
  <si>
    <t>Korea, S</t>
  </si>
  <si>
    <t>Kuwait</t>
  </si>
  <si>
    <t>Kyrgyzstan</t>
  </si>
  <si>
    <t>LV</t>
  </si>
  <si>
    <t>Latvia</t>
  </si>
  <si>
    <t>Lebanon</t>
  </si>
  <si>
    <t>Libyan Arab Jamahiriya</t>
  </si>
  <si>
    <t>LT</t>
  </si>
  <si>
    <t>Lithuania</t>
  </si>
  <si>
    <t>LU</t>
  </si>
  <si>
    <t>Luxembourg</t>
  </si>
  <si>
    <t>Malaysia</t>
  </si>
  <si>
    <t>MT</t>
  </si>
  <si>
    <t>Malta</t>
  </si>
  <si>
    <t>Mexico</t>
  </si>
  <si>
    <t>Middle East</t>
  </si>
  <si>
    <t>Mongolia</t>
  </si>
  <si>
    <t>Morocco</t>
  </si>
  <si>
    <t>Mozambique</t>
  </si>
  <si>
    <t>Myanmar</t>
  </si>
  <si>
    <t>Namibia</t>
  </si>
  <si>
    <t>Nepal</t>
  </si>
  <si>
    <t>NL</t>
  </si>
  <si>
    <t>Netherlands</t>
  </si>
  <si>
    <t>Netherlands Antilles</t>
  </si>
  <si>
    <t>New Zealand</t>
  </si>
  <si>
    <t>Nicaragua</t>
  </si>
  <si>
    <t>Nigeria</t>
  </si>
  <si>
    <t>North Macedonia</t>
  </si>
  <si>
    <t>NO</t>
  </si>
  <si>
    <t>Norway</t>
  </si>
  <si>
    <t>Oman</t>
  </si>
  <si>
    <t>Other Africa</t>
  </si>
  <si>
    <t>Other Asia</t>
  </si>
  <si>
    <t>Other Latin America</t>
  </si>
  <si>
    <t>Pakistan</t>
  </si>
  <si>
    <t>Panama</t>
  </si>
  <si>
    <t>Paraguay</t>
  </si>
  <si>
    <t>China (mainland)</t>
  </si>
  <si>
    <t>Peru</t>
  </si>
  <si>
    <t>Philippines</t>
  </si>
  <si>
    <t>PL</t>
  </si>
  <si>
    <t>Poland</t>
  </si>
  <si>
    <t>PT</t>
  </si>
  <si>
    <t>Portugal</t>
  </si>
  <si>
    <t>Qatar</t>
  </si>
  <si>
    <t>Republic of Moldova</t>
  </si>
  <si>
    <t>RO</t>
  </si>
  <si>
    <t>Romania</t>
  </si>
  <si>
    <t>Russian Federation</t>
  </si>
  <si>
    <t>Saudi Arabia</t>
  </si>
  <si>
    <t>Senegal</t>
  </si>
  <si>
    <t>Serbia</t>
  </si>
  <si>
    <t>Singapore</t>
  </si>
  <si>
    <t>SK</t>
  </si>
  <si>
    <t>Slovak Republic</t>
  </si>
  <si>
    <t>SL</t>
  </si>
  <si>
    <t>Slovenia</t>
  </si>
  <si>
    <t>South Africa</t>
  </si>
  <si>
    <t>ES</t>
  </si>
  <si>
    <t>Spain</t>
  </si>
  <si>
    <t>Sri Lanka</t>
  </si>
  <si>
    <t>Sudan</t>
  </si>
  <si>
    <t>SE</t>
  </si>
  <si>
    <t>Sweden</t>
  </si>
  <si>
    <t>CH</t>
  </si>
  <si>
    <t>Switzerland</t>
  </si>
  <si>
    <t>Syrian Arab Republic</t>
  </si>
  <si>
    <t>Taiwan</t>
  </si>
  <si>
    <t>Tajikistan</t>
  </si>
  <si>
    <t>Thailand</t>
  </si>
  <si>
    <t>Togo</t>
  </si>
  <si>
    <t>Trinidad and Tobago</t>
  </si>
  <si>
    <t>Tunisia</t>
  </si>
  <si>
    <t>Turkey</t>
  </si>
  <si>
    <t>Turkmenistan</t>
  </si>
  <si>
    <t>Ukraine</t>
  </si>
  <si>
    <t>United Arab Emirates</t>
  </si>
  <si>
    <t>UK</t>
  </si>
  <si>
    <t>United Kingdom</t>
  </si>
  <si>
    <t>United Republic of Tanzania</t>
  </si>
  <si>
    <t>United States</t>
  </si>
  <si>
    <t>Uruguay</t>
  </si>
  <si>
    <t>Uzbekistan</t>
  </si>
  <si>
    <t>Venezuela</t>
  </si>
  <si>
    <t>Vietnam</t>
  </si>
  <si>
    <t>Yemen</t>
  </si>
  <si>
    <t>Zambia</t>
  </si>
  <si>
    <t>Zimbabwe</t>
  </si>
  <si>
    <t>Reference - Conversion and Emissions Factors</t>
  </si>
  <si>
    <t>The information in the sheet is provided for reference in case additional conversions need to made beyond those facilitated by the drop down menus in the Energy &amp; GHGs tab and associated Pick lists tab.</t>
  </si>
  <si>
    <t>Energy, Mass, and Volume Conversion Factors</t>
  </si>
  <si>
    <t>General conversion factors for energy</t>
  </si>
  <si>
    <t>To:</t>
  </si>
  <si>
    <t>TJ</t>
  </si>
  <si>
    <t xml:space="preserve">Gcal </t>
  </si>
  <si>
    <t>mmBtu</t>
  </si>
  <si>
    <t>GWh</t>
  </si>
  <si>
    <t>From:</t>
  </si>
  <si>
    <t>Mulitply by</t>
  </si>
  <si>
    <t>terajoule (TJ)</t>
  </si>
  <si>
    <t>gigacalorie (Gcal)</t>
  </si>
  <si>
    <t>million British thermal unites mmBtu)</t>
  </si>
  <si>
    <t>gigawatt hour (GWh)</t>
  </si>
  <si>
    <t>General conversion factors for mass</t>
  </si>
  <si>
    <t>t</t>
  </si>
  <si>
    <t>lt</t>
  </si>
  <si>
    <t>st</t>
  </si>
  <si>
    <t>lb</t>
  </si>
  <si>
    <t>Kilogramme (kg)</t>
  </si>
  <si>
    <t>tonne/metric ton (t)</t>
  </si>
  <si>
    <t>long ton/Imperial ton (lt)</t>
  </si>
  <si>
    <t>short ton/US ton (st)</t>
  </si>
  <si>
    <t>pound (lb)</t>
  </si>
  <si>
    <t>General conversion factors for volume</t>
  </si>
  <si>
    <t>gal U.S.</t>
  </si>
  <si>
    <t>gal U.K.</t>
  </si>
  <si>
    <t>ft3</t>
  </si>
  <si>
    <t>l</t>
  </si>
  <si>
    <t>U.S. gallon (gal U.S.)</t>
  </si>
  <si>
    <t>U.K. gallon (gal U.K.)</t>
  </si>
  <si>
    <t>cubic foot (ft3)</t>
  </si>
  <si>
    <t>litre (l)</t>
  </si>
  <si>
    <t>cubic metre (m3)</t>
  </si>
  <si>
    <t>Additional Greenhouse Gas Emissions Factors (not included in Pick lists tab or the drop down menus of the Energy &amp; GHGs tab)</t>
  </si>
  <si>
    <r>
      <t xml:space="preserve">Factors below are from the following teference: Koffi, Brigitte; Cerutti, Alessandro; Duerr, Marlene; Iancu, Andreea; Kona, Albana; Janssens-Maenhout, Greet (2017): </t>
    </r>
    <r>
      <rPr>
        <b/>
        <sz val="11"/>
        <color theme="1"/>
        <rFont val="Verdana"/>
        <family val="2"/>
      </rPr>
      <t>CoM Default Emission Factors for the Member States of the European Union</t>
    </r>
    <r>
      <rPr>
        <sz val="11"/>
        <color theme="1"/>
        <rFont val="Verdana"/>
        <family val="2"/>
      </rPr>
      <t xml:space="preserve"> - Version 2017, European Commission, Joint Research Centre (JRC) [Dataset] PID: http://data.europa.eu/89h/jrc-com-ef-comw-ef-2017.				</t>
    </r>
  </si>
  <si>
    <t xml:space="preserve">For other regions, refer to the Greenhouse Gas Protocol calculation tools: </t>
  </si>
  <si>
    <t>https://ghgprotocol.org/calculation-tools#cross_sector_tools_id</t>
  </si>
  <si>
    <t>Emission factors for fossil fuels and municipal wastes (lower heating value basis)</t>
  </si>
  <si>
    <t>Natural gas liquids</t>
  </si>
  <si>
    <t>0.231</t>
  </si>
  <si>
    <t>t CO2e /MWh</t>
  </si>
  <si>
    <t>Lignite</t>
  </si>
  <si>
    <t>Anthracite Coal</t>
  </si>
  <si>
    <t>Other Bituminous Coal</t>
  </si>
  <si>
    <t>Sub-Bituminious Coal</t>
  </si>
  <si>
    <t>0.346</t>
  </si>
  <si>
    <t>Peat - Non Renewable Fuel</t>
  </si>
  <si>
    <t>Municipal Waste (non-biomass fraction) - Non Renewable Fuel</t>
  </si>
  <si>
    <t>Emission factors for renewable energy sources  (lower heating value basis)</t>
  </si>
  <si>
    <t>Bio-gasoline</t>
  </si>
  <si>
    <t>Biodiesels</t>
  </si>
  <si>
    <t>Other Liquefied Biofuels - Plant oil</t>
  </si>
  <si>
    <t>0.287</t>
  </si>
  <si>
    <t>Other primary solid biomass</t>
  </si>
  <si>
    <t>Revision Date</t>
  </si>
  <si>
    <t>Tab</t>
  </si>
  <si>
    <t>Section</t>
  </si>
  <si>
    <t>Type of Change</t>
  </si>
  <si>
    <t>Authorized By</t>
  </si>
  <si>
    <t>Pick Lists</t>
  </si>
  <si>
    <t>Direct GWP  (column N)</t>
  </si>
  <si>
    <t>Direct emissions factors for purchased electricity were moved up one row to align with the proper country. The factors for Germany through the Netherlands were shifted one cell down so that they were now associated with the correct country. Other factors were already in the correct location. Note that these factors are referenced in the Energy &amp; GHGs tab when carbon offsets will be purchased to compensate for emissions from purchased electricity.</t>
  </si>
  <si>
    <t>Sebastian Häfele</t>
  </si>
  <si>
    <t>Energy &amp; GHGs</t>
  </si>
  <si>
    <t>Table 1c</t>
  </si>
  <si>
    <t>Added rows to table 1c for calculating location based emissions (scope 2).</t>
  </si>
  <si>
    <t>Table 2a</t>
  </si>
  <si>
    <t>Column E was not allowing for calculating emissions from 'other' direct sources (cells were locked and formulas were not entered correctly in column E). This has been fixed,</t>
  </si>
  <si>
    <t>Updated the emissions factors for purchased electricity from 2018 to 2019 data. Added residual emissions factors for the US and production mix factors for the EU.</t>
  </si>
  <si>
    <t>Updated nuclear power share values to 2021 data (from 2019)</t>
  </si>
  <si>
    <t>Table 2a (column E)</t>
  </si>
  <si>
    <t>formulas added that were missing</t>
  </si>
  <si>
    <t>Table 2c (column I)</t>
  </si>
  <si>
    <t>formula added that was missing</t>
  </si>
  <si>
    <t>Table 4b</t>
  </si>
  <si>
    <t>Replaced this section of the table with a single indicator stating if the desired achievement level has been met. Previously this section included an error that allowed for the bioenergy credit to reduce the amount of carbon offsets required for addressing emissions from purchased electricity, which is not allowed per the standard.</t>
  </si>
  <si>
    <t>Supplement to Tables 3-4</t>
  </si>
  <si>
    <t>Added</t>
  </si>
  <si>
    <t>Table 1sa</t>
  </si>
  <si>
    <t>Added a question regarding Platinum level achievement</t>
  </si>
  <si>
    <t>To do at next update: Add conversion factors in GJ; emissions factors for black liquor (per assessor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</si>
</sst>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
    <numFmt numFmtId="166" formatCode="0.0000"/>
    <numFmt numFmtId="167" formatCode="[$-409]d\-mmm\-yy;@"/>
    <numFmt numFmtId="168" formatCode="0.0%"/>
    <numFmt numFmtId="169" formatCode="0.000"/>
  </numFmts>
  <fonts count="53">
    <font>
      <sz val="11"/>
      <color theme="1"/>
      <name val="Calibri"/>
      <family val="2"/>
      <scheme val="minor"/>
    </font>
    <font>
      <sz val="11"/>
      <color theme="1"/>
      <name val="Calibri"/>
      <family val="2"/>
      <scheme val="minor"/>
    </font>
    <font>
      <u/>
      <sz val="11"/>
      <color theme="10"/>
      <name val="Calibri"/>
      <family val="2"/>
      <scheme val="minor"/>
    </font>
    <font>
      <sz val="11"/>
      <color theme="0"/>
      <name val="Calibri"/>
      <family val="2"/>
      <scheme val="minor"/>
    </font>
    <font>
      <u/>
      <sz val="11"/>
      <color theme="11"/>
      <name val="Calibri"/>
      <family val="2"/>
      <scheme val="minor"/>
    </font>
    <font>
      <b/>
      <sz val="10"/>
      <color rgb="FF000000"/>
      <name val="Calibri"/>
      <family val="2"/>
    </font>
    <font>
      <sz val="10"/>
      <color rgb="FF000000"/>
      <name val="Calibri"/>
      <family val="2"/>
    </font>
    <font>
      <b/>
      <sz val="9"/>
      <color rgb="FF000000"/>
      <name val="Calibri"/>
      <family val="2"/>
    </font>
    <font>
      <sz val="10"/>
      <color rgb="FF000000"/>
      <name val="Tahoma"/>
      <family val="2"/>
    </font>
    <font>
      <b/>
      <sz val="16"/>
      <color theme="0"/>
      <name val="Verdana"/>
      <family val="2"/>
    </font>
    <font>
      <sz val="11"/>
      <color theme="1"/>
      <name val="Verdana"/>
      <family val="2"/>
    </font>
    <font>
      <sz val="12"/>
      <color theme="0"/>
      <name val="Verdana"/>
      <family val="2"/>
    </font>
    <font>
      <sz val="11"/>
      <color theme="0"/>
      <name val="Verdana"/>
      <family val="2"/>
    </font>
    <font>
      <b/>
      <sz val="11"/>
      <color theme="1"/>
      <name val="Verdana"/>
      <family val="2"/>
    </font>
    <font>
      <b/>
      <sz val="11"/>
      <color theme="0"/>
      <name val="Verdana"/>
      <family val="2"/>
    </font>
    <font>
      <sz val="9"/>
      <color theme="1"/>
      <name val="Verdana"/>
      <family val="2"/>
    </font>
    <font>
      <sz val="10"/>
      <color theme="1"/>
      <name val="Verdana"/>
      <family val="2"/>
    </font>
    <font>
      <b/>
      <sz val="10"/>
      <color theme="1"/>
      <name val="Verdana"/>
      <family val="2"/>
    </font>
    <font>
      <sz val="10"/>
      <color theme="1"/>
      <name val="Calibri"/>
      <family val="2"/>
      <scheme val="minor"/>
    </font>
    <font>
      <sz val="10"/>
      <color rgb="FF00B0F0"/>
      <name val="Verdana"/>
      <family val="2"/>
    </font>
    <font>
      <b/>
      <sz val="10"/>
      <color rgb="FFC00000"/>
      <name val="Verdana"/>
      <family val="2"/>
    </font>
    <font>
      <sz val="10"/>
      <color rgb="FF0070C0"/>
      <name val="Verdana"/>
      <family val="2"/>
    </font>
    <font>
      <b/>
      <sz val="10"/>
      <color theme="0"/>
      <name val="Verdana"/>
      <family val="2"/>
    </font>
    <font>
      <sz val="10"/>
      <color theme="0"/>
      <name val="Verdana"/>
      <family val="2"/>
    </font>
    <font>
      <i/>
      <sz val="10"/>
      <color rgb="FF0070C0"/>
      <name val="Verdana"/>
      <family val="2"/>
    </font>
    <font>
      <b/>
      <i/>
      <sz val="10"/>
      <color rgb="FFC00000"/>
      <name val="Verdana"/>
      <family val="2"/>
    </font>
    <font>
      <i/>
      <sz val="10"/>
      <color rgb="FFC00000"/>
      <name val="Verdana"/>
      <family val="2"/>
    </font>
    <font>
      <i/>
      <sz val="10"/>
      <color theme="1"/>
      <name val="Verdana"/>
      <family val="2"/>
    </font>
    <font>
      <b/>
      <i/>
      <sz val="10"/>
      <color rgb="FF0070C0"/>
      <name val="Verdana"/>
      <family val="2"/>
    </font>
    <font>
      <b/>
      <sz val="10"/>
      <name val="Verdana"/>
      <family val="2"/>
    </font>
    <font>
      <b/>
      <sz val="10"/>
      <color theme="1"/>
      <name val="Calibri"/>
      <family val="2"/>
      <scheme val="minor"/>
    </font>
    <font>
      <u/>
      <sz val="10"/>
      <color theme="1"/>
      <name val="Verdana"/>
      <family val="2"/>
    </font>
    <font>
      <sz val="10"/>
      <name val="Verdana"/>
      <family val="2"/>
    </font>
    <font>
      <i/>
      <sz val="10"/>
      <name val="Verdana"/>
      <family val="2"/>
    </font>
    <font>
      <sz val="10"/>
      <color rgb="FF000000"/>
      <name val="Verdana"/>
      <family val="2"/>
    </font>
    <font>
      <sz val="10"/>
      <color theme="0"/>
      <name val="Calibri"/>
      <family val="2"/>
      <scheme val="minor"/>
    </font>
    <font>
      <sz val="10"/>
      <color theme="1" tint="4.9989318521683403E-2"/>
      <name val="Verdana"/>
      <family val="2"/>
    </font>
    <font>
      <sz val="10"/>
      <color indexed="8"/>
      <name val="Verdana"/>
      <family val="2"/>
    </font>
    <font>
      <b/>
      <sz val="10"/>
      <color rgb="FF4B4B4B"/>
      <name val="Verdana"/>
      <family val="2"/>
    </font>
    <font>
      <b/>
      <i/>
      <sz val="10"/>
      <color rgb="FF4B4B4B"/>
      <name val="Verdana"/>
      <family val="2"/>
    </font>
    <font>
      <b/>
      <i/>
      <sz val="10"/>
      <color theme="1"/>
      <name val="Verdana"/>
      <family val="2"/>
    </font>
    <font>
      <sz val="10"/>
      <color rgb="FF231F20"/>
      <name val="Verdana"/>
      <family val="2"/>
    </font>
    <font>
      <sz val="7"/>
      <color rgb="FF231F20"/>
      <name val="Verdana"/>
      <family val="2"/>
    </font>
    <font>
      <u/>
      <sz val="10"/>
      <color theme="10"/>
      <name val="Verdana"/>
      <family val="2"/>
    </font>
    <font>
      <b/>
      <sz val="12"/>
      <color theme="0"/>
      <name val="Verdana"/>
      <family val="2"/>
    </font>
    <font>
      <b/>
      <sz val="11"/>
      <color theme="1"/>
      <name val="Calibri"/>
      <family val="2"/>
      <scheme val="minor"/>
    </font>
    <font>
      <sz val="9"/>
      <color rgb="FF000000"/>
      <name val="Calibri"/>
      <family val="2"/>
    </font>
    <font>
      <b/>
      <sz val="10"/>
      <color theme="0" tint="-0.249977111117893"/>
      <name val="Verdana"/>
      <family val="2"/>
    </font>
    <font>
      <sz val="10"/>
      <color theme="0" tint="-0.249977111117893"/>
      <name val="Verdana"/>
      <family val="2"/>
    </font>
    <font>
      <b/>
      <u/>
      <sz val="10"/>
      <color theme="1"/>
      <name val="Verdana"/>
      <family val="2"/>
    </font>
    <font>
      <b/>
      <sz val="11"/>
      <color theme="0"/>
      <name val="Calibri"/>
      <family val="2"/>
      <scheme val="minor"/>
    </font>
    <font>
      <b/>
      <sz val="14"/>
      <color theme="0"/>
      <name val="Verdana"/>
      <family val="2"/>
    </font>
    <font>
      <b/>
      <i/>
      <sz val="14"/>
      <color rgb="FF4B4B4B"/>
      <name val="Verdana"/>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00C16D"/>
        <bgColor indexed="64"/>
      </patternFill>
    </fill>
    <fill>
      <patternFill patternType="solid">
        <fgColor rgb="FFFF8B00"/>
        <bgColor indexed="64"/>
      </patternFill>
    </fill>
    <fill>
      <patternFill patternType="solid">
        <fgColor rgb="FF4B4B4B"/>
        <bgColor indexed="64"/>
      </patternFill>
    </fill>
    <fill>
      <patternFill patternType="solid">
        <fgColor theme="0" tint="-0.249977111117893"/>
        <bgColor indexed="64"/>
      </patternFill>
    </fill>
    <fill>
      <patternFill patternType="solid">
        <fgColor theme="0"/>
        <bgColor rgb="FF000000"/>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thin">
        <color auto="1"/>
      </top>
      <bottom style="medium">
        <color auto="1"/>
      </bottom>
      <diagonal/>
    </border>
    <border>
      <left/>
      <right style="thin">
        <color auto="1"/>
      </right>
      <top style="medium">
        <color auto="1"/>
      </top>
      <bottom/>
      <diagonal/>
    </border>
    <border>
      <left/>
      <right/>
      <top/>
      <bottom style="medium">
        <color auto="1"/>
      </bottom>
      <diagonal/>
    </border>
    <border>
      <left/>
      <right/>
      <top style="medium">
        <color auto="1"/>
      </top>
      <bottom style="medium">
        <color auto="1"/>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theme="0"/>
      </top>
      <bottom style="thin">
        <color theme="0"/>
      </bottom>
      <diagonal/>
    </border>
    <border>
      <left style="thin">
        <color theme="0"/>
      </left>
      <right style="thin">
        <color theme="0"/>
      </right>
      <top style="thin">
        <color theme="0"/>
      </top>
      <bottom style="medium">
        <color auto="1"/>
      </bottom>
      <diagonal/>
    </border>
    <border>
      <left/>
      <right/>
      <top/>
      <bottom style="thin">
        <color theme="0"/>
      </bottom>
      <diagonal/>
    </border>
    <border>
      <left style="thin">
        <color theme="0"/>
      </left>
      <right style="thin">
        <color theme="0"/>
      </right>
      <top/>
      <bottom/>
      <diagonal/>
    </border>
    <border>
      <left/>
      <right/>
      <top style="thin">
        <color theme="0"/>
      </top>
      <bottom/>
      <diagonal/>
    </border>
    <border>
      <left style="thin">
        <color theme="0"/>
      </left>
      <right/>
      <top/>
      <bottom style="medium">
        <color auto="1"/>
      </bottom>
      <diagonal/>
    </border>
    <border>
      <left/>
      <right style="thin">
        <color auto="1"/>
      </right>
      <top/>
      <bottom style="thin">
        <color auto="1"/>
      </bottom>
      <diagonal/>
    </border>
    <border>
      <left style="thin">
        <color auto="1"/>
      </left>
      <right/>
      <top style="thin">
        <color auto="1"/>
      </top>
      <bottom/>
      <diagonal/>
    </border>
    <border>
      <left/>
      <right/>
      <top style="thin">
        <color theme="0"/>
      </top>
      <bottom style="thin">
        <color auto="1"/>
      </bottom>
      <diagonal/>
    </border>
    <border>
      <left style="thin">
        <color auto="1"/>
      </left>
      <right style="thin">
        <color auto="1"/>
      </right>
      <top style="medium">
        <color auto="1"/>
      </top>
      <bottom/>
      <diagonal/>
    </border>
    <border>
      <left style="medium">
        <color indexed="64"/>
      </left>
      <right style="thin">
        <color auto="1"/>
      </right>
      <top/>
      <bottom style="medium">
        <color auto="1"/>
      </bottom>
      <diagonal/>
    </border>
    <border>
      <left style="thin">
        <color auto="1"/>
      </left>
      <right style="medium">
        <color indexed="64"/>
      </right>
      <top/>
      <bottom style="medium">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style="thin">
        <color auto="1"/>
      </top>
      <bottom/>
      <diagonal/>
    </border>
    <border>
      <left style="thin">
        <color theme="0"/>
      </left>
      <right style="thin">
        <color theme="0"/>
      </right>
      <top style="thin">
        <color theme="0"/>
      </top>
      <bottom/>
      <diagonal/>
    </border>
    <border>
      <left/>
      <right style="thin">
        <color auto="1"/>
      </right>
      <top style="thin">
        <color auto="1"/>
      </top>
      <bottom style="medium">
        <color indexed="64"/>
      </bottom>
      <diagonal/>
    </border>
    <border>
      <left style="thin">
        <color theme="0"/>
      </left>
      <right/>
      <top style="thin">
        <color theme="0"/>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medium">
        <color indexed="64"/>
      </left>
      <right style="thin">
        <color auto="1"/>
      </right>
      <top style="thin">
        <color auto="1"/>
      </top>
      <bottom/>
      <diagonal/>
    </border>
    <border>
      <left/>
      <right style="thin">
        <color auto="1"/>
      </right>
      <top/>
      <bottom style="medium">
        <color auto="1"/>
      </bottom>
      <diagonal/>
    </border>
    <border>
      <left style="thin">
        <color theme="0"/>
      </left>
      <right style="thin">
        <color auto="1"/>
      </right>
      <top style="medium">
        <color auto="1"/>
      </top>
      <bottom style="medium">
        <color indexed="64"/>
      </bottom>
      <diagonal/>
    </border>
    <border>
      <left style="thin">
        <color theme="0"/>
      </left>
      <right style="thin">
        <color theme="0"/>
      </right>
      <top style="medium">
        <color auto="1"/>
      </top>
      <bottom style="medium">
        <color indexed="64"/>
      </bottom>
      <diagonal/>
    </border>
    <border>
      <left/>
      <right style="thin">
        <color indexed="64"/>
      </right>
      <top/>
      <bottom/>
      <diagonal/>
    </border>
    <border>
      <left/>
      <right style="thin">
        <color auto="1"/>
      </right>
      <top style="medium">
        <color auto="1"/>
      </top>
      <bottom style="thin">
        <color auto="1"/>
      </bottom>
      <diagonal/>
    </border>
    <border>
      <left style="medium">
        <color indexed="64"/>
      </left>
      <right/>
      <top style="thin">
        <color auto="1"/>
      </top>
      <bottom style="thin">
        <color auto="1"/>
      </bottom>
      <diagonal/>
    </border>
    <border>
      <left style="thin">
        <color theme="1"/>
      </left>
      <right style="thin">
        <color theme="1"/>
      </right>
      <top style="thin">
        <color theme="1"/>
      </top>
      <bottom style="thin">
        <color theme="1"/>
      </bottom>
      <diagonal/>
    </border>
    <border>
      <left/>
      <right/>
      <top style="medium">
        <color auto="1"/>
      </top>
      <bottom/>
      <diagonal/>
    </border>
    <border>
      <left/>
      <right style="thin">
        <color indexed="64"/>
      </right>
      <top/>
      <bottom style="thin">
        <color theme="0"/>
      </bottom>
      <diagonal/>
    </border>
    <border>
      <left/>
      <right style="thin">
        <color auto="1"/>
      </right>
      <top style="thin">
        <color theme="0"/>
      </top>
      <bottom style="thin">
        <color theme="0"/>
      </bottom>
      <diagonal/>
    </border>
    <border>
      <left style="thin">
        <color auto="1"/>
      </left>
      <right style="medium">
        <color indexed="64"/>
      </right>
      <top style="medium">
        <color auto="1"/>
      </top>
      <bottom/>
      <diagonal/>
    </border>
    <border>
      <left style="medium">
        <color indexed="64"/>
      </left>
      <right/>
      <top style="medium">
        <color auto="1"/>
      </top>
      <bottom/>
      <diagonal/>
    </border>
    <border>
      <left style="thin">
        <color auto="1"/>
      </left>
      <right/>
      <top style="medium">
        <color auto="1"/>
      </top>
      <bottom/>
      <diagonal/>
    </border>
  </borders>
  <cellStyleXfs count="33">
    <xf numFmtId="0" fontId="0" fillId="0" borderId="0"/>
    <xf numFmtId="0" fontId="2" fillId="0" borderId="0" applyNumberForma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597">
    <xf numFmtId="0" fontId="0" fillId="0" borderId="0" xfId="0"/>
    <xf numFmtId="0" fontId="10" fillId="6" borderId="0" xfId="0" applyFont="1" applyFill="1"/>
    <xf numFmtId="0" fontId="10" fillId="0" borderId="0" xfId="0" applyFont="1"/>
    <xf numFmtId="0" fontId="16" fillId="0" borderId="2"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0" fontId="16" fillId="0" borderId="16" xfId="0" applyFont="1" applyBorder="1" applyAlignment="1" applyProtection="1">
      <alignment horizontal="left" wrapText="1"/>
      <protection locked="0"/>
    </xf>
    <xf numFmtId="0" fontId="16" fillId="0" borderId="1" xfId="0" applyFont="1" applyBorder="1"/>
    <xf numFmtId="0" fontId="16" fillId="0" borderId="21" xfId="0" applyFont="1" applyBorder="1" applyAlignment="1" applyProtection="1">
      <alignment vertical="top" wrapText="1"/>
      <protection locked="0"/>
    </xf>
    <xf numFmtId="0" fontId="16" fillId="2" borderId="18" xfId="0" applyFont="1" applyFill="1" applyBorder="1" applyAlignment="1" applyProtection="1">
      <alignment vertical="top" wrapText="1"/>
      <protection locked="0"/>
    </xf>
    <xf numFmtId="49" fontId="32" fillId="4" borderId="7" xfId="0" applyNumberFormat="1" applyFont="1" applyFill="1" applyBorder="1" applyAlignment="1" applyProtection="1">
      <alignment horizontal="right"/>
      <protection locked="0"/>
    </xf>
    <xf numFmtId="0" fontId="16" fillId="0" borderId="1" xfId="0" applyFont="1" applyBorder="1" applyAlignment="1" applyProtection="1">
      <alignment wrapText="1"/>
      <protection locked="0"/>
    </xf>
    <xf numFmtId="0" fontId="27" fillId="0" borderId="1" xfId="0" applyFont="1" applyBorder="1" applyAlignment="1" applyProtection="1">
      <alignment wrapText="1"/>
      <protection locked="0"/>
    </xf>
    <xf numFmtId="49" fontId="32" fillId="4" borderId="6" xfId="0" applyNumberFormat="1" applyFont="1" applyFill="1" applyBorder="1" applyAlignment="1" applyProtection="1">
      <alignment horizontal="right"/>
      <protection locked="0"/>
    </xf>
    <xf numFmtId="2" fontId="16" fillId="0" borderId="21" xfId="0" applyNumberFormat="1" applyFont="1" applyBorder="1" applyProtection="1">
      <protection locked="0"/>
    </xf>
    <xf numFmtId="0" fontId="27" fillId="2" borderId="0" xfId="0" applyFont="1" applyFill="1" applyAlignment="1" applyProtection="1">
      <alignment wrapText="1"/>
      <protection locked="0"/>
    </xf>
    <xf numFmtId="49" fontId="32" fillId="9" borderId="0" xfId="0" applyNumberFormat="1" applyFont="1" applyFill="1" applyAlignment="1" applyProtection="1">
      <alignment horizontal="right"/>
      <protection locked="0"/>
    </xf>
    <xf numFmtId="2" fontId="16" fillId="2" borderId="0" xfId="0" applyNumberFormat="1" applyFont="1" applyFill="1" applyProtection="1">
      <protection locked="0"/>
    </xf>
    <xf numFmtId="49" fontId="32" fillId="2" borderId="0" xfId="0" applyNumberFormat="1" applyFont="1" applyFill="1" applyAlignment="1" applyProtection="1">
      <alignment horizontal="right"/>
      <protection locked="0"/>
    </xf>
    <xf numFmtId="0" fontId="16" fillId="2" borderId="2" xfId="0" applyFont="1" applyFill="1" applyBorder="1" applyAlignment="1" applyProtection="1">
      <alignment horizontal="left" wrapText="1"/>
      <protection locked="0"/>
    </xf>
    <xf numFmtId="0" fontId="16" fillId="0" borderId="1" xfId="0" applyFont="1" applyBorder="1" applyAlignment="1" applyProtection="1">
      <alignment horizontal="right"/>
      <protection locked="0"/>
    </xf>
    <xf numFmtId="9" fontId="16" fillId="0" borderId="1" xfId="2" applyFont="1" applyBorder="1" applyAlignment="1" applyProtection="1">
      <protection locked="0"/>
    </xf>
    <xf numFmtId="0" fontId="16" fillId="0" borderId="21" xfId="0" applyFont="1" applyBorder="1" applyAlignment="1" applyProtection="1">
      <alignment wrapText="1"/>
      <protection locked="0"/>
    </xf>
    <xf numFmtId="0" fontId="16" fillId="0" borderId="7" xfId="0" applyFont="1" applyBorder="1" applyAlignment="1" applyProtection="1">
      <alignment wrapText="1"/>
      <protection locked="0"/>
    </xf>
    <xf numFmtId="0" fontId="16" fillId="0" borderId="0" xfId="0" applyFont="1"/>
    <xf numFmtId="0" fontId="16" fillId="0" borderId="0" xfId="0" applyFont="1" applyAlignment="1">
      <alignment wrapText="1"/>
    </xf>
    <xf numFmtId="0" fontId="16" fillId="0" borderId="0" xfId="0" applyFont="1" applyAlignment="1" applyProtection="1">
      <alignment horizontal="right" vertical="center"/>
      <protection locked="0"/>
    </xf>
    <xf numFmtId="0" fontId="16" fillId="3" borderId="21" xfId="0" applyFont="1" applyFill="1" applyBorder="1" applyAlignment="1" applyProtection="1">
      <alignment wrapText="1"/>
      <protection locked="0"/>
    </xf>
    <xf numFmtId="0" fontId="16" fillId="3" borderId="7" xfId="0" applyFont="1" applyFill="1" applyBorder="1" applyAlignment="1" applyProtection="1">
      <alignment wrapText="1"/>
      <protection locked="0"/>
    </xf>
    <xf numFmtId="0" fontId="16" fillId="0" borderId="2" xfId="0" applyFont="1" applyBorder="1" applyAlignment="1" applyProtection="1">
      <alignment horizontal="right"/>
      <protection locked="0"/>
    </xf>
    <xf numFmtId="9" fontId="16" fillId="0" borderId="2" xfId="2" applyFont="1" applyBorder="1" applyAlignment="1" applyProtection="1">
      <protection locked="0"/>
    </xf>
    <xf numFmtId="0" fontId="16" fillId="2" borderId="1" xfId="0" applyFont="1" applyFill="1" applyBorder="1" applyAlignment="1">
      <alignment wrapText="1"/>
    </xf>
    <xf numFmtId="0" fontId="16" fillId="0" borderId="1" xfId="0" applyFont="1" applyBorder="1" applyProtection="1">
      <protection locked="0"/>
    </xf>
    <xf numFmtId="0" fontId="16" fillId="0" borderId="18" xfId="0" applyFont="1" applyBorder="1" applyAlignment="1" applyProtection="1">
      <alignment wrapText="1"/>
      <protection locked="0"/>
    </xf>
    <xf numFmtId="0" fontId="16" fillId="0" borderId="1" xfId="0" applyFont="1" applyBorder="1" applyAlignment="1" applyProtection="1">
      <alignment horizontal="right" wrapText="1"/>
      <protection locked="0"/>
    </xf>
    <xf numFmtId="11" fontId="16" fillId="2" borderId="1" xfId="0" applyNumberFormat="1" applyFont="1" applyFill="1" applyBorder="1" applyProtection="1">
      <protection locked="0"/>
    </xf>
    <xf numFmtId="2" fontId="16" fillId="0" borderId="1" xfId="0" applyNumberFormat="1" applyFont="1" applyBorder="1"/>
    <xf numFmtId="0" fontId="17" fillId="0" borderId="18" xfId="0" applyFont="1" applyBorder="1" applyAlignment="1" applyProtection="1">
      <alignment wrapText="1"/>
      <protection locked="0"/>
    </xf>
    <xf numFmtId="2" fontId="17" fillId="6" borderId="1" xfId="0" applyNumberFormat="1" applyFont="1" applyFill="1" applyBorder="1"/>
    <xf numFmtId="0" fontId="17" fillId="3" borderId="18" xfId="0" applyFont="1" applyFill="1" applyBorder="1" applyAlignment="1" applyProtection="1">
      <alignment wrapText="1"/>
      <protection locked="0"/>
    </xf>
    <xf numFmtId="0" fontId="16" fillId="3" borderId="1" xfId="0" applyFont="1" applyFill="1" applyBorder="1" applyAlignment="1" applyProtection="1">
      <alignment horizontal="right" wrapText="1"/>
      <protection locked="0"/>
    </xf>
    <xf numFmtId="11" fontId="16" fillId="3" borderId="1" xfId="0" applyNumberFormat="1" applyFont="1" applyFill="1" applyBorder="1" applyProtection="1">
      <protection locked="0"/>
    </xf>
    <xf numFmtId="2" fontId="16" fillId="3" borderId="1" xfId="0" applyNumberFormat="1" applyFont="1" applyFill="1" applyBorder="1"/>
    <xf numFmtId="11" fontId="16" fillId="0" borderId="1" xfId="0" applyNumberFormat="1" applyFont="1" applyBorder="1" applyProtection="1">
      <protection locked="0"/>
    </xf>
    <xf numFmtId="0" fontId="17" fillId="0" borderId="1" xfId="0" applyFont="1" applyBorder="1" applyAlignment="1" applyProtection="1">
      <alignment wrapText="1"/>
      <protection locked="0"/>
    </xf>
    <xf numFmtId="9" fontId="16" fillId="0" borderId="3" xfId="2" applyFont="1" applyBorder="1" applyAlignment="1" applyProtection="1">
      <protection locked="0"/>
    </xf>
    <xf numFmtId="2" fontId="17" fillId="6" borderId="3" xfId="0" applyNumberFormat="1" applyFont="1" applyFill="1" applyBorder="1" applyAlignment="1">
      <alignment wrapText="1"/>
    </xf>
    <xf numFmtId="0" fontId="16" fillId="3" borderId="35" xfId="0" applyFont="1" applyFill="1" applyBorder="1" applyProtection="1">
      <protection locked="0"/>
    </xf>
    <xf numFmtId="0" fontId="16" fillId="3" borderId="35" xfId="0" applyFont="1" applyFill="1" applyBorder="1" applyAlignment="1" applyProtection="1">
      <alignment horizontal="right"/>
      <protection locked="0"/>
    </xf>
    <xf numFmtId="9" fontId="16" fillId="3" borderId="35" xfId="2" applyFont="1" applyFill="1" applyBorder="1" applyAlignment="1" applyProtection="1">
      <protection locked="0"/>
    </xf>
    <xf numFmtId="0" fontId="17" fillId="3" borderId="1" xfId="0" applyFont="1" applyFill="1" applyBorder="1" applyAlignment="1">
      <alignment wrapText="1"/>
    </xf>
    <xf numFmtId="0" fontId="16" fillId="0" borderId="18" xfId="0" applyFont="1" applyBorder="1" applyAlignment="1" applyProtection="1">
      <alignment horizontal="right"/>
      <protection locked="0"/>
    </xf>
    <xf numFmtId="11" fontId="16" fillId="0" borderId="18" xfId="0" applyNumberFormat="1" applyFont="1" applyBorder="1" applyProtection="1">
      <protection locked="0"/>
    </xf>
    <xf numFmtId="2" fontId="16" fillId="0" borderId="18" xfId="0" applyNumberFormat="1" applyFont="1" applyBorder="1"/>
    <xf numFmtId="0" fontId="16" fillId="0" borderId="3" xfId="0" applyFont="1" applyBorder="1" applyAlignment="1" applyProtection="1">
      <alignment wrapText="1"/>
      <protection locked="0"/>
    </xf>
    <xf numFmtId="0" fontId="16" fillId="0" borderId="3" xfId="0" applyFont="1" applyBorder="1" applyProtection="1">
      <protection locked="0"/>
    </xf>
    <xf numFmtId="0" fontId="16" fillId="0" borderId="3" xfId="0" applyFont="1" applyBorder="1" applyAlignment="1" applyProtection="1">
      <alignment horizontal="right"/>
      <protection locked="0"/>
    </xf>
    <xf numFmtId="11" fontId="16" fillId="0" borderId="3" xfId="0" applyNumberFormat="1" applyFont="1" applyBorder="1" applyProtection="1">
      <protection locked="0"/>
    </xf>
    <xf numFmtId="2" fontId="16" fillId="0" borderId="3" xfId="0" applyNumberFormat="1" applyFont="1" applyBorder="1"/>
    <xf numFmtId="164" fontId="16" fillId="0" borderId="2" xfId="0" applyNumberFormat="1" applyFont="1" applyBorder="1" applyAlignment="1" applyProtection="1">
      <alignment wrapText="1"/>
      <protection locked="0"/>
    </xf>
    <xf numFmtId="164" fontId="16" fillId="0" borderId="1" xfId="0" applyNumberFormat="1" applyFont="1" applyBorder="1" applyAlignment="1" applyProtection="1">
      <alignment wrapText="1"/>
      <protection locked="0"/>
    </xf>
    <xf numFmtId="2" fontId="16" fillId="0" borderId="1" xfId="0" applyNumberFormat="1" applyFont="1" applyBorder="1" applyProtection="1">
      <protection locked="0"/>
    </xf>
    <xf numFmtId="0" fontId="9" fillId="6" borderId="0" xfId="0" applyFont="1" applyFill="1"/>
    <xf numFmtId="0" fontId="11" fillId="6" borderId="0" xfId="0" applyFont="1" applyFill="1" applyAlignment="1">
      <alignment horizontal="right"/>
    </xf>
    <xf numFmtId="0" fontId="41" fillId="0" borderId="0" xfId="0" applyFont="1" applyAlignment="1">
      <alignment horizontal="left" vertical="center" wrapText="1"/>
    </xf>
    <xf numFmtId="0" fontId="41" fillId="0" borderId="0" xfId="0" applyFont="1" applyAlignment="1">
      <alignment horizontal="left" vertical="center" wrapText="1" indent="1"/>
    </xf>
    <xf numFmtId="0" fontId="41" fillId="0" borderId="0" xfId="0" applyFont="1" applyAlignment="1">
      <alignment horizontal="left" vertical="center" wrapText="1" indent="2"/>
    </xf>
    <xf numFmtId="0" fontId="13" fillId="0" borderId="0" xfId="0" applyFont="1"/>
    <xf numFmtId="0" fontId="24" fillId="0" borderId="0" xfId="0" applyFont="1"/>
    <xf numFmtId="0" fontId="9" fillId="6" borderId="0" xfId="0" applyFont="1" applyFill="1" applyAlignment="1">
      <alignment wrapText="1"/>
    </xf>
    <xf numFmtId="0" fontId="23" fillId="6" borderId="0" xfId="0" applyFont="1" applyFill="1"/>
    <xf numFmtId="0" fontId="23" fillId="0" borderId="0" xfId="0" applyFont="1"/>
    <xf numFmtId="0" fontId="23" fillId="0" borderId="48" xfId="0" applyFont="1" applyBorder="1"/>
    <xf numFmtId="0" fontId="16" fillId="0" borderId="0" xfId="0" applyFont="1" applyAlignment="1">
      <alignment vertical="center" wrapText="1"/>
    </xf>
    <xf numFmtId="0" fontId="43" fillId="0" borderId="0" xfId="1" applyFont="1" applyFill="1" applyAlignment="1">
      <alignment vertical="center" wrapText="1"/>
    </xf>
    <xf numFmtId="0" fontId="16" fillId="0" borderId="53" xfId="0" applyFont="1" applyBorder="1"/>
    <xf numFmtId="0" fontId="17" fillId="0" borderId="53" xfId="0" applyFont="1" applyBorder="1" applyAlignment="1">
      <alignment wrapText="1"/>
    </xf>
    <xf numFmtId="0" fontId="16" fillId="0" borderId="20" xfId="0" applyFont="1" applyBorder="1"/>
    <xf numFmtId="165" fontId="16" fillId="0" borderId="1" xfId="0" applyNumberFormat="1" applyFont="1" applyBorder="1"/>
    <xf numFmtId="0" fontId="27" fillId="0" borderId="20" xfId="0" applyFont="1" applyBorder="1"/>
    <xf numFmtId="9" fontId="16" fillId="0" borderId="1" xfId="0" applyNumberFormat="1" applyFont="1" applyBorder="1"/>
    <xf numFmtId="4" fontId="16" fillId="0" borderId="0" xfId="0" applyNumberFormat="1" applyFont="1"/>
    <xf numFmtId="4" fontId="16" fillId="0" borderId="1" xfId="0" applyNumberFormat="1" applyFont="1" applyBorder="1"/>
    <xf numFmtId="166" fontId="16" fillId="0" borderId="1" xfId="0" applyNumberFormat="1" applyFont="1" applyBorder="1"/>
    <xf numFmtId="9" fontId="16" fillId="0" borderId="1" xfId="0" applyNumberFormat="1" applyFont="1" applyBorder="1" applyAlignment="1">
      <alignment horizontal="left"/>
    </xf>
    <xf numFmtId="0" fontId="16" fillId="0" borderId="2" xfId="0" applyFont="1" applyBorder="1"/>
    <xf numFmtId="165" fontId="16" fillId="0" borderId="0" xfId="0" applyNumberFormat="1" applyFont="1"/>
    <xf numFmtId="165" fontId="16" fillId="0" borderId="20" xfId="0" applyNumberFormat="1" applyFont="1" applyBorder="1"/>
    <xf numFmtId="0" fontId="16" fillId="0" borderId="16" xfId="0" applyFont="1" applyBorder="1"/>
    <xf numFmtId="0" fontId="16" fillId="0" borderId="19" xfId="0" applyFont="1" applyBorder="1"/>
    <xf numFmtId="0" fontId="17" fillId="3" borderId="3" xfId="0" applyFont="1" applyFill="1" applyBorder="1"/>
    <xf numFmtId="0" fontId="17" fillId="3" borderId="3" xfId="0" applyFont="1" applyFill="1" applyBorder="1" applyAlignment="1">
      <alignment wrapText="1"/>
    </xf>
    <xf numFmtId="0" fontId="16" fillId="3" borderId="1" xfId="0" applyFont="1" applyFill="1" applyBorder="1"/>
    <xf numFmtId="0" fontId="16" fillId="3" borderId="2" xfId="0" applyFont="1" applyFill="1" applyBorder="1"/>
    <xf numFmtId="0" fontId="17" fillId="3" borderId="1" xfId="0" applyFont="1" applyFill="1" applyBorder="1"/>
    <xf numFmtId="0" fontId="16" fillId="3" borderId="20" xfId="0" applyFont="1" applyFill="1" applyBorder="1"/>
    <xf numFmtId="0" fontId="16" fillId="3" borderId="1" xfId="0" applyFont="1" applyFill="1" applyBorder="1" applyAlignment="1">
      <alignment wrapText="1"/>
    </xf>
    <xf numFmtId="0" fontId="16" fillId="3" borderId="1" xfId="0" applyFont="1" applyFill="1" applyBorder="1" applyAlignment="1">
      <alignment horizontal="left" wrapText="1"/>
    </xf>
    <xf numFmtId="0" fontId="16" fillId="3" borderId="0" xfId="0" applyFont="1" applyFill="1" applyAlignment="1">
      <alignment vertical="center" wrapText="1"/>
    </xf>
    <xf numFmtId="2" fontId="16" fillId="0" borderId="38" xfId="0" applyNumberFormat="1" applyFont="1" applyBorder="1" applyAlignment="1" applyProtection="1">
      <alignment horizontal="right"/>
      <protection locked="0"/>
    </xf>
    <xf numFmtId="2" fontId="16" fillId="0" borderId="39" xfId="0" applyNumberFormat="1" applyFont="1" applyBorder="1" applyAlignment="1" applyProtection="1">
      <alignment horizontal="right"/>
      <protection locked="0"/>
    </xf>
    <xf numFmtId="2" fontId="16" fillId="0" borderId="41" xfId="0" applyNumberFormat="1" applyFont="1" applyBorder="1" applyAlignment="1" applyProtection="1">
      <alignment horizontal="right"/>
      <protection locked="0"/>
    </xf>
    <xf numFmtId="168" fontId="16" fillId="0" borderId="2" xfId="2" applyNumberFormat="1" applyFont="1" applyBorder="1" applyAlignment="1" applyProtection="1">
      <alignment horizontal="right"/>
      <protection locked="0"/>
    </xf>
    <xf numFmtId="168" fontId="16" fillId="0" borderId="1" xfId="2" applyNumberFormat="1" applyFont="1" applyBorder="1" applyAlignment="1" applyProtection="1">
      <alignment horizontal="right"/>
      <protection locked="0"/>
    </xf>
    <xf numFmtId="168" fontId="16" fillId="0" borderId="19" xfId="2" applyNumberFormat="1" applyFont="1" applyBorder="1" applyAlignment="1" applyProtection="1">
      <alignment horizontal="right"/>
      <protection locked="0"/>
    </xf>
    <xf numFmtId="168" fontId="17" fillId="0" borderId="2" xfId="2" applyNumberFormat="1" applyFont="1" applyFill="1" applyBorder="1" applyProtection="1">
      <protection locked="0"/>
    </xf>
    <xf numFmtId="168" fontId="16" fillId="0" borderId="21" xfId="2" applyNumberFormat="1" applyFont="1" applyBorder="1" applyProtection="1">
      <protection locked="0"/>
    </xf>
    <xf numFmtId="2" fontId="16" fillId="0" borderId="19" xfId="2" applyNumberFormat="1" applyFont="1" applyBorder="1" applyProtection="1"/>
    <xf numFmtId="2" fontId="16" fillId="0" borderId="1" xfId="2" applyNumberFormat="1" applyFont="1" applyBorder="1" applyProtection="1"/>
    <xf numFmtId="2" fontId="16" fillId="0" borderId="18" xfId="2" applyNumberFormat="1" applyFont="1" applyBorder="1" applyProtection="1"/>
    <xf numFmtId="2" fontId="16" fillId="2" borderId="2" xfId="0" applyNumberFormat="1" applyFont="1" applyFill="1" applyBorder="1" applyAlignment="1" applyProtection="1">
      <alignment horizontal="right" wrapText="1"/>
      <protection locked="0"/>
    </xf>
    <xf numFmtId="2" fontId="16" fillId="0" borderId="2" xfId="0" applyNumberFormat="1" applyFont="1" applyBorder="1" applyProtection="1">
      <protection locked="0"/>
    </xf>
    <xf numFmtId="2" fontId="16" fillId="0" borderId="18" xfId="0" applyNumberFormat="1" applyFont="1" applyBorder="1" applyProtection="1">
      <protection locked="0"/>
    </xf>
    <xf numFmtId="2" fontId="16" fillId="3" borderId="18" xfId="0" applyNumberFormat="1" applyFont="1" applyFill="1" applyBorder="1" applyProtection="1">
      <protection locked="0"/>
    </xf>
    <xf numFmtId="2" fontId="16" fillId="0" borderId="1" xfId="0" applyNumberFormat="1" applyFont="1" applyBorder="1" applyAlignment="1">
      <alignment wrapText="1"/>
    </xf>
    <xf numFmtId="2" fontId="16" fillId="0" borderId="18" xfId="0" applyNumberFormat="1" applyFont="1" applyBorder="1" applyAlignment="1">
      <alignment wrapText="1"/>
    </xf>
    <xf numFmtId="2" fontId="27" fillId="0" borderId="3" xfId="0" applyNumberFormat="1" applyFont="1" applyBorder="1" applyAlignment="1">
      <alignment wrapText="1"/>
    </xf>
    <xf numFmtId="168" fontId="16" fillId="0" borderId="2" xfId="2" applyNumberFormat="1" applyFont="1" applyBorder="1" applyAlignment="1" applyProtection="1">
      <protection locked="0"/>
    </xf>
    <xf numFmtId="168" fontId="16" fillId="0" borderId="1" xfId="2" applyNumberFormat="1" applyFont="1" applyBorder="1" applyAlignment="1" applyProtection="1">
      <protection locked="0"/>
    </xf>
    <xf numFmtId="168" fontId="16" fillId="3" borderId="1" xfId="2" applyNumberFormat="1" applyFont="1" applyFill="1" applyBorder="1" applyAlignment="1" applyProtection="1">
      <protection locked="0"/>
    </xf>
    <xf numFmtId="168" fontId="16" fillId="0" borderId="18" xfId="2" applyNumberFormat="1" applyFont="1" applyBorder="1" applyAlignment="1" applyProtection="1">
      <protection locked="0"/>
    </xf>
    <xf numFmtId="168" fontId="16" fillId="0" borderId="3" xfId="2" applyNumberFormat="1" applyFont="1" applyBorder="1" applyAlignment="1" applyProtection="1">
      <protection locked="0"/>
    </xf>
    <xf numFmtId="2" fontId="16" fillId="0" borderId="3" xfId="0" applyNumberFormat="1" applyFont="1" applyBorder="1" applyProtection="1">
      <protection locked="0"/>
    </xf>
    <xf numFmtId="49" fontId="16" fillId="0" borderId="2" xfId="0" applyNumberFormat="1" applyFont="1" applyBorder="1" applyAlignment="1" applyProtection="1">
      <alignment horizontal="left" wrapText="1"/>
      <protection locked="0"/>
    </xf>
    <xf numFmtId="49" fontId="16" fillId="0" borderId="1" xfId="0" applyNumberFormat="1" applyFont="1" applyBorder="1" applyAlignment="1" applyProtection="1">
      <alignment horizontal="left" wrapText="1"/>
      <protection locked="0"/>
    </xf>
    <xf numFmtId="49" fontId="16" fillId="0" borderId="3" xfId="0" applyNumberFormat="1" applyFont="1" applyBorder="1" applyAlignment="1" applyProtection="1">
      <alignment horizontal="left" wrapText="1"/>
      <protection locked="0"/>
    </xf>
    <xf numFmtId="49" fontId="16" fillId="0" borderId="2" xfId="0" applyNumberFormat="1" applyFont="1" applyBorder="1" applyAlignment="1" applyProtection="1">
      <alignment horizontal="left"/>
      <protection locked="0"/>
    </xf>
    <xf numFmtId="49" fontId="16" fillId="0" borderId="1" xfId="0" applyNumberFormat="1" applyFont="1" applyBorder="1" applyAlignment="1" applyProtection="1">
      <alignment horizontal="left"/>
      <protection locked="0"/>
    </xf>
    <xf numFmtId="49" fontId="16" fillId="0" borderId="3" xfId="0" applyNumberFormat="1" applyFont="1" applyBorder="1" applyAlignment="1" applyProtection="1">
      <alignment horizontal="left"/>
      <protection locked="0"/>
    </xf>
    <xf numFmtId="164" fontId="16" fillId="2" borderId="21" xfId="0" applyNumberFormat="1" applyFont="1" applyFill="1" applyBorder="1" applyAlignment="1" applyProtection="1">
      <alignment horizontal="left" wrapText="1"/>
      <protection locked="0"/>
    </xf>
    <xf numFmtId="164" fontId="16" fillId="2" borderId="7" xfId="0" applyNumberFormat="1" applyFont="1" applyFill="1" applyBorder="1" applyAlignment="1" applyProtection="1">
      <alignment horizontal="left" wrapText="1"/>
      <protection locked="0"/>
    </xf>
    <xf numFmtId="0" fontId="16" fillId="2" borderId="17" xfId="0" applyFont="1" applyFill="1" applyBorder="1" applyAlignment="1" applyProtection="1">
      <alignment horizontal="left" wrapText="1"/>
      <protection locked="0"/>
    </xf>
    <xf numFmtId="0" fontId="16" fillId="0" borderId="1" xfId="0" applyFont="1" applyBorder="1" applyAlignment="1" applyProtection="1">
      <alignment horizontal="left" indent="1"/>
      <protection locked="0"/>
    </xf>
    <xf numFmtId="0" fontId="44" fillId="7" borderId="0" xfId="0" applyFont="1" applyFill="1" applyAlignment="1">
      <alignment vertical="center"/>
    </xf>
    <xf numFmtId="0" fontId="22" fillId="7" borderId="0" xfId="0" applyFont="1" applyFill="1" applyAlignment="1">
      <alignment horizontal="left" vertical="center" wrapText="1"/>
    </xf>
    <xf numFmtId="0" fontId="16" fillId="0" borderId="56" xfId="0" applyFont="1" applyBorder="1"/>
    <xf numFmtId="165" fontId="16" fillId="0" borderId="56" xfId="0" applyNumberFormat="1" applyFont="1" applyBorder="1"/>
    <xf numFmtId="169" fontId="16" fillId="0" borderId="56" xfId="0" applyNumberFormat="1" applyFont="1" applyBorder="1"/>
    <xf numFmtId="165" fontId="16" fillId="0" borderId="19" xfId="0" applyNumberFormat="1" applyFont="1" applyBorder="1"/>
    <xf numFmtId="0" fontId="32" fillId="0" borderId="1" xfId="0" applyFont="1" applyBorder="1"/>
    <xf numFmtId="0" fontId="32" fillId="0" borderId="2" xfId="0" applyFont="1" applyBorder="1"/>
    <xf numFmtId="0" fontId="10" fillId="6" borderId="0" xfId="0" applyFont="1" applyFill="1" applyProtection="1">
      <protection locked="0"/>
    </xf>
    <xf numFmtId="0" fontId="11" fillId="6" borderId="53" xfId="0" applyFont="1" applyFill="1" applyBorder="1" applyAlignment="1" applyProtection="1">
      <alignment horizontal="right"/>
      <protection locked="0"/>
    </xf>
    <xf numFmtId="0" fontId="12" fillId="6" borderId="0" xfId="0" applyFont="1" applyFill="1" applyAlignment="1" applyProtection="1">
      <alignment horizontal="right"/>
      <protection locked="0"/>
    </xf>
    <xf numFmtId="0" fontId="0" fillId="0" borderId="0" xfId="0" applyProtection="1">
      <protection locked="0"/>
    </xf>
    <xf numFmtId="0" fontId="16" fillId="2" borderId="0" xfId="0" applyFont="1" applyFill="1" applyProtection="1">
      <protection locked="0"/>
    </xf>
    <xf numFmtId="0" fontId="18" fillId="0" borderId="0" xfId="0" applyFont="1" applyProtection="1">
      <protection locked="0"/>
    </xf>
    <xf numFmtId="0" fontId="22" fillId="7" borderId="0" xfId="0" applyFont="1" applyFill="1" applyProtection="1">
      <protection locked="0"/>
    </xf>
    <xf numFmtId="0" fontId="23" fillId="7" borderId="0" xfId="0" applyFont="1" applyFill="1" applyProtection="1">
      <protection locked="0"/>
    </xf>
    <xf numFmtId="0" fontId="16" fillId="2" borderId="53" xfId="0" applyFont="1" applyFill="1" applyBorder="1" applyProtection="1">
      <protection locked="0"/>
    </xf>
    <xf numFmtId="0" fontId="17" fillId="3" borderId="26" xfId="0" applyFont="1" applyFill="1" applyBorder="1" applyAlignment="1" applyProtection="1">
      <alignment horizontal="right" wrapText="1"/>
      <protection locked="0"/>
    </xf>
    <xf numFmtId="0" fontId="16" fillId="2" borderId="7" xfId="0" applyFont="1" applyFill="1" applyBorder="1" applyProtection="1">
      <protection locked="0"/>
    </xf>
    <xf numFmtId="0" fontId="17" fillId="2" borderId="0" xfId="0" applyFont="1" applyFill="1" applyProtection="1">
      <protection locked="0"/>
    </xf>
    <xf numFmtId="0" fontId="23" fillId="2" borderId="0" xfId="0" applyFont="1" applyFill="1" applyProtection="1">
      <protection locked="0"/>
    </xf>
    <xf numFmtId="0" fontId="23" fillId="2" borderId="53" xfId="0" applyFont="1" applyFill="1" applyBorder="1" applyProtection="1">
      <protection locked="0"/>
    </xf>
    <xf numFmtId="0" fontId="20" fillId="2" borderId="0" xfId="0" applyFont="1" applyFill="1" applyAlignment="1" applyProtection="1">
      <alignment horizontal="left"/>
      <protection locked="0"/>
    </xf>
    <xf numFmtId="49" fontId="16" fillId="3" borderId="4" xfId="0" applyNumberFormat="1" applyFont="1" applyFill="1" applyBorder="1" applyAlignment="1" applyProtection="1">
      <alignment horizontal="left" vertical="top" wrapText="1"/>
      <protection locked="0"/>
    </xf>
    <xf numFmtId="0" fontId="27" fillId="0" borderId="23" xfId="0" applyFont="1" applyBorder="1" applyAlignment="1" applyProtection="1">
      <alignment horizontal="left" wrapText="1"/>
      <protection locked="0"/>
    </xf>
    <xf numFmtId="0" fontId="16" fillId="0" borderId="19" xfId="0" applyFont="1" applyBorder="1" applyAlignment="1" applyProtection="1">
      <alignment horizontal="right"/>
      <protection locked="0"/>
    </xf>
    <xf numFmtId="168" fontId="16" fillId="0" borderId="18" xfId="2" applyNumberFormat="1" applyFont="1" applyFill="1" applyBorder="1" applyProtection="1">
      <protection locked="0"/>
    </xf>
    <xf numFmtId="168" fontId="16" fillId="0" borderId="1" xfId="2" applyNumberFormat="1" applyFont="1" applyFill="1" applyBorder="1" applyProtection="1">
      <protection locked="0"/>
    </xf>
    <xf numFmtId="0" fontId="17" fillId="3" borderId="13" xfId="0" applyFont="1" applyFill="1" applyBorder="1" applyAlignment="1" applyProtection="1">
      <alignment horizontal="right" wrapText="1"/>
      <protection locked="0"/>
    </xf>
    <xf numFmtId="0" fontId="17" fillId="3" borderId="3" xfId="0" applyFont="1" applyFill="1" applyBorder="1" applyAlignment="1" applyProtection="1">
      <alignment vertical="top" wrapText="1"/>
      <protection locked="0"/>
    </xf>
    <xf numFmtId="0" fontId="17" fillId="3" borderId="9" xfId="0" applyFont="1" applyFill="1" applyBorder="1" applyAlignment="1" applyProtection="1">
      <alignment vertical="top" wrapText="1"/>
      <protection locked="0"/>
    </xf>
    <xf numFmtId="0" fontId="30" fillId="0" borderId="0" xfId="0" applyFont="1" applyProtection="1">
      <protection locked="0"/>
    </xf>
    <xf numFmtId="0" fontId="16" fillId="2" borderId="0" xfId="0" applyFont="1" applyFill="1" applyAlignment="1" applyProtection="1">
      <alignment wrapText="1"/>
      <protection locked="0"/>
    </xf>
    <xf numFmtId="0" fontId="16" fillId="3" borderId="27" xfId="0" applyFont="1" applyFill="1" applyBorder="1" applyAlignment="1" applyProtection="1">
      <alignment wrapText="1"/>
      <protection locked="0"/>
    </xf>
    <xf numFmtId="0" fontId="32" fillId="4" borderId="1" xfId="0" applyFont="1" applyFill="1" applyBorder="1" applyAlignment="1" applyProtection="1">
      <alignment horizontal="left" wrapText="1"/>
      <protection locked="0"/>
    </xf>
    <xf numFmtId="0" fontId="33" fillId="4" borderId="1" xfId="0" applyFont="1" applyFill="1" applyBorder="1" applyAlignment="1" applyProtection="1">
      <alignment horizontal="left" wrapText="1"/>
      <protection locked="0"/>
    </xf>
    <xf numFmtId="49" fontId="32" fillId="4" borderId="20" xfId="0" applyNumberFormat="1" applyFont="1" applyFill="1" applyBorder="1" applyAlignment="1" applyProtection="1">
      <alignment horizontal="right"/>
      <protection locked="0"/>
    </xf>
    <xf numFmtId="167" fontId="34" fillId="0" borderId="21" xfId="0" applyNumberFormat="1" applyFont="1" applyBorder="1" applyAlignment="1" applyProtection="1">
      <alignment horizontal="right"/>
      <protection locked="0"/>
    </xf>
    <xf numFmtId="2" fontId="16" fillId="4" borderId="21" xfId="0" applyNumberFormat="1" applyFont="1" applyFill="1" applyBorder="1" applyProtection="1">
      <protection locked="0"/>
    </xf>
    <xf numFmtId="168" fontId="34" fillId="0" borderId="5" xfId="2" applyNumberFormat="1" applyFont="1" applyBorder="1" applyProtection="1">
      <protection locked="0"/>
    </xf>
    <xf numFmtId="0" fontId="35" fillId="0" borderId="0" xfId="0" applyFont="1" applyProtection="1">
      <protection locked="0"/>
    </xf>
    <xf numFmtId="0" fontId="35" fillId="2" borderId="0" xfId="0" applyFont="1" applyFill="1" applyProtection="1">
      <protection locked="0"/>
    </xf>
    <xf numFmtId="49" fontId="32" fillId="4" borderId="32" xfId="0" applyNumberFormat="1" applyFont="1" applyFill="1" applyBorder="1" applyAlignment="1" applyProtection="1">
      <alignment horizontal="right"/>
      <protection locked="0"/>
    </xf>
    <xf numFmtId="167" fontId="34" fillId="0" borderId="1" xfId="0" applyNumberFormat="1" applyFont="1" applyBorder="1" applyAlignment="1" applyProtection="1">
      <alignment horizontal="right"/>
      <protection locked="0"/>
    </xf>
    <xf numFmtId="168" fontId="34" fillId="0" borderId="1" xfId="2" applyNumberFormat="1" applyFont="1" applyBorder="1" applyProtection="1">
      <protection locked="0"/>
    </xf>
    <xf numFmtId="167" fontId="34" fillId="2" borderId="0" xfId="0" applyNumberFormat="1" applyFont="1" applyFill="1" applyAlignment="1" applyProtection="1">
      <alignment horizontal="right"/>
      <protection locked="0"/>
    </xf>
    <xf numFmtId="9" fontId="34" fillId="2" borderId="0" xfId="2" applyFont="1" applyFill="1" applyBorder="1" applyProtection="1">
      <protection locked="0"/>
    </xf>
    <xf numFmtId="164" fontId="32" fillId="2" borderId="0" xfId="0" applyNumberFormat="1" applyFont="1" applyFill="1" applyAlignment="1" applyProtection="1">
      <alignment horizontal="center"/>
      <protection locked="0"/>
    </xf>
    <xf numFmtId="0" fontId="22" fillId="3" borderId="47" xfId="0" applyFont="1" applyFill="1" applyBorder="1" applyAlignment="1" applyProtection="1">
      <alignment horizontal="left" wrapText="1"/>
      <protection locked="0"/>
    </xf>
    <xf numFmtId="0" fontId="22" fillId="3" borderId="6" xfId="0" applyFont="1" applyFill="1" applyBorder="1" applyAlignment="1" applyProtection="1">
      <alignment horizontal="left"/>
      <protection locked="0"/>
    </xf>
    <xf numFmtId="1" fontId="32" fillId="3" borderId="20" xfId="0" applyNumberFormat="1" applyFont="1" applyFill="1" applyBorder="1" applyAlignment="1" applyProtection="1">
      <alignment horizontal="right"/>
      <protection locked="0"/>
    </xf>
    <xf numFmtId="0" fontId="16" fillId="2" borderId="40" xfId="0" applyFont="1" applyFill="1" applyBorder="1" applyAlignment="1" applyProtection="1">
      <alignment horizontal="left" wrapText="1"/>
      <protection locked="0"/>
    </xf>
    <xf numFmtId="1" fontId="32" fillId="2" borderId="20" xfId="0" applyNumberFormat="1" applyFont="1" applyFill="1" applyBorder="1" applyAlignment="1" applyProtection="1">
      <alignment horizontal="right"/>
      <protection locked="0"/>
    </xf>
    <xf numFmtId="0" fontId="16" fillId="2" borderId="46" xfId="0" applyFont="1" applyFill="1" applyBorder="1" applyAlignment="1" applyProtection="1">
      <alignment horizontal="left" wrapText="1"/>
      <protection locked="0"/>
    </xf>
    <xf numFmtId="0" fontId="16" fillId="3" borderId="3" xfId="0" applyFont="1" applyFill="1" applyBorder="1" applyAlignment="1" applyProtection="1">
      <alignment horizontal="left" wrapText="1"/>
      <protection locked="0"/>
    </xf>
    <xf numFmtId="49" fontId="32" fillId="2" borderId="2" xfId="0" applyNumberFormat="1" applyFont="1" applyFill="1" applyBorder="1" applyAlignment="1" applyProtection="1">
      <alignment horizontal="right"/>
      <protection locked="0"/>
    </xf>
    <xf numFmtId="0" fontId="16" fillId="3" borderId="3" xfId="0" applyFont="1" applyFill="1" applyBorder="1" applyAlignment="1" applyProtection="1">
      <alignment horizontal="right" wrapText="1"/>
      <protection locked="0"/>
    </xf>
    <xf numFmtId="0" fontId="17" fillId="3" borderId="54" xfId="0" applyFont="1" applyFill="1" applyBorder="1" applyAlignment="1" applyProtection="1">
      <alignment horizontal="left" wrapText="1"/>
      <protection locked="0"/>
    </xf>
    <xf numFmtId="0" fontId="16" fillId="3" borderId="5" xfId="0" applyFont="1" applyFill="1" applyBorder="1" applyAlignment="1" applyProtection="1">
      <alignment horizontal="right" wrapText="1"/>
      <protection locked="0"/>
    </xf>
    <xf numFmtId="0" fontId="16" fillId="3" borderId="14" xfId="0" applyFont="1" applyFill="1" applyBorder="1" applyAlignment="1" applyProtection="1">
      <alignment wrapText="1"/>
      <protection locked="0"/>
    </xf>
    <xf numFmtId="0" fontId="16" fillId="3" borderId="15" xfId="0" applyFont="1" applyFill="1" applyBorder="1" applyAlignment="1" applyProtection="1">
      <alignment wrapText="1"/>
      <protection locked="0"/>
    </xf>
    <xf numFmtId="0" fontId="16" fillId="3" borderId="54" xfId="0" applyFont="1" applyFill="1" applyBorder="1" applyAlignment="1" applyProtection="1">
      <alignment wrapText="1"/>
      <protection locked="0"/>
    </xf>
    <xf numFmtId="0" fontId="16" fillId="0" borderId="2" xfId="0" applyFont="1" applyBorder="1" applyAlignment="1" applyProtection="1">
      <alignment wrapText="1"/>
      <protection locked="0"/>
    </xf>
    <xf numFmtId="0" fontId="16" fillId="2" borderId="1" xfId="0" applyFont="1" applyFill="1" applyBorder="1" applyAlignment="1" applyProtection="1">
      <alignment wrapText="1"/>
      <protection locked="0"/>
    </xf>
    <xf numFmtId="2" fontId="16" fillId="0" borderId="18" xfId="0" applyNumberFormat="1" applyFont="1" applyBorder="1" applyAlignment="1" applyProtection="1">
      <alignment wrapText="1"/>
      <protection locked="0"/>
    </xf>
    <xf numFmtId="2" fontId="16" fillId="3" borderId="1" xfId="0" applyNumberFormat="1" applyFont="1" applyFill="1" applyBorder="1" applyProtection="1">
      <protection locked="0"/>
    </xf>
    <xf numFmtId="0" fontId="17" fillId="0" borderId="10" xfId="0" applyFont="1" applyBorder="1" applyAlignment="1" applyProtection="1">
      <alignment vertical="top" wrapText="1"/>
      <protection locked="0"/>
    </xf>
    <xf numFmtId="2" fontId="16" fillId="0" borderId="4" xfId="0" applyNumberFormat="1" applyFont="1" applyBorder="1" applyAlignment="1" applyProtection="1">
      <alignment vertical="center" wrapText="1"/>
      <protection locked="0"/>
    </xf>
    <xf numFmtId="168" fontId="16" fillId="0" borderId="4" xfId="2" applyNumberFormat="1" applyFont="1" applyBorder="1" applyAlignment="1" applyProtection="1">
      <alignment vertical="center"/>
      <protection locked="0"/>
    </xf>
    <xf numFmtId="0" fontId="16" fillId="2" borderId="16" xfId="0" applyFont="1" applyFill="1" applyBorder="1" applyProtection="1">
      <protection locked="0"/>
    </xf>
    <xf numFmtId="0" fontId="16" fillId="2" borderId="0" xfId="0" applyFont="1" applyFill="1" applyAlignment="1" applyProtection="1">
      <alignment vertical="top"/>
      <protection locked="0"/>
    </xf>
    <xf numFmtId="0" fontId="16" fillId="2" borderId="0" xfId="0" applyFont="1" applyFill="1" applyAlignment="1" applyProtection="1">
      <alignment horizontal="right"/>
      <protection locked="0"/>
    </xf>
    <xf numFmtId="1" fontId="16" fillId="2" borderId="0" xfId="0" applyNumberFormat="1" applyFont="1" applyFill="1" applyAlignment="1" applyProtection="1">
      <alignment horizontal="right"/>
      <protection locked="0"/>
    </xf>
    <xf numFmtId="164" fontId="16" fillId="2" borderId="0" xfId="0" applyNumberFormat="1" applyFont="1" applyFill="1" applyAlignment="1" applyProtection="1">
      <alignment vertical="top"/>
      <protection locked="0"/>
    </xf>
    <xf numFmtId="0" fontId="23" fillId="7" borderId="0" xfId="0" applyFont="1" applyFill="1" applyAlignment="1" applyProtection="1">
      <alignment wrapText="1"/>
      <protection locked="0"/>
    </xf>
    <xf numFmtId="0" fontId="23" fillId="7" borderId="0" xfId="0" applyFont="1" applyFill="1" applyAlignment="1" applyProtection="1">
      <alignment vertical="top"/>
      <protection locked="0"/>
    </xf>
    <xf numFmtId="0" fontId="16" fillId="3" borderId="22" xfId="0" applyFont="1" applyFill="1" applyBorder="1" applyAlignment="1" applyProtection="1">
      <alignment horizontal="right" wrapText="1"/>
      <protection locked="0"/>
    </xf>
    <xf numFmtId="0" fontId="17" fillId="3" borderId="35" xfId="0" applyFont="1" applyFill="1" applyBorder="1" applyAlignment="1" applyProtection="1">
      <alignment wrapText="1"/>
      <protection locked="0"/>
    </xf>
    <xf numFmtId="2" fontId="16" fillId="3" borderId="16" xfId="0" applyNumberFormat="1" applyFont="1" applyFill="1" applyBorder="1" applyProtection="1">
      <protection locked="0"/>
    </xf>
    <xf numFmtId="0" fontId="16" fillId="0" borderId="0" xfId="0" applyFont="1" applyProtection="1">
      <protection locked="0"/>
    </xf>
    <xf numFmtId="2" fontId="16" fillId="3" borderId="23" xfId="0" applyNumberFormat="1" applyFont="1" applyFill="1" applyBorder="1" applyProtection="1">
      <protection locked="0"/>
    </xf>
    <xf numFmtId="2" fontId="16" fillId="0" borderId="23" xfId="0" applyNumberFormat="1" applyFont="1" applyBorder="1" applyProtection="1">
      <protection locked="0"/>
    </xf>
    <xf numFmtId="0" fontId="17" fillId="3" borderId="1" xfId="0" applyFont="1" applyFill="1" applyBorder="1" applyAlignment="1" applyProtection="1">
      <alignment wrapText="1"/>
      <protection locked="0"/>
    </xf>
    <xf numFmtId="2" fontId="16" fillId="0" borderId="33" xfId="0" applyNumberFormat="1" applyFont="1" applyBorder="1" applyProtection="1">
      <protection locked="0"/>
    </xf>
    <xf numFmtId="2" fontId="16" fillId="0" borderId="3" xfId="0" applyNumberFormat="1" applyFont="1" applyBorder="1" applyAlignment="1" applyProtection="1">
      <alignment wrapText="1"/>
      <protection locked="0"/>
    </xf>
    <xf numFmtId="2" fontId="16" fillId="0" borderId="22" xfId="0" applyNumberFormat="1" applyFont="1" applyBorder="1" applyProtection="1">
      <protection locked="0"/>
    </xf>
    <xf numFmtId="168" fontId="16" fillId="0" borderId="13" xfId="2" applyNumberFormat="1" applyFont="1" applyBorder="1" applyAlignment="1" applyProtection="1">
      <alignment vertical="center"/>
      <protection locked="0"/>
    </xf>
    <xf numFmtId="2" fontId="17" fillId="0" borderId="8" xfId="0" applyNumberFormat="1" applyFont="1" applyBorder="1" applyAlignment="1" applyProtection="1">
      <alignment vertical="center"/>
      <protection locked="0"/>
    </xf>
    <xf numFmtId="0" fontId="16" fillId="0" borderId="0" xfId="0" applyFont="1" applyAlignment="1" applyProtection="1">
      <alignment wrapText="1"/>
      <protection locked="0"/>
    </xf>
    <xf numFmtId="164" fontId="16" fillId="0" borderId="4" xfId="0" applyNumberFormat="1" applyFont="1" applyBorder="1" applyAlignment="1" applyProtection="1">
      <alignment vertical="center" wrapText="1"/>
      <protection locked="0"/>
    </xf>
    <xf numFmtId="9" fontId="16" fillId="0" borderId="8" xfId="2" applyFont="1" applyBorder="1" applyAlignment="1" applyProtection="1">
      <alignment vertical="center"/>
      <protection locked="0"/>
    </xf>
    <xf numFmtId="0" fontId="16" fillId="3" borderId="52" xfId="0" applyFont="1" applyFill="1" applyBorder="1" applyAlignment="1" applyProtection="1">
      <alignment wrapText="1"/>
      <protection locked="0"/>
    </xf>
    <xf numFmtId="49" fontId="16" fillId="3" borderId="51" xfId="0" applyNumberFormat="1" applyFont="1" applyFill="1" applyBorder="1" applyAlignment="1" applyProtection="1">
      <alignment wrapText="1"/>
      <protection locked="0"/>
    </xf>
    <xf numFmtId="0" fontId="16" fillId="2" borderId="2" xfId="0" applyFont="1" applyFill="1" applyBorder="1" applyAlignment="1" applyProtection="1">
      <alignment horizontal="left"/>
      <protection locked="0"/>
    </xf>
    <xf numFmtId="0" fontId="16" fillId="0" borderId="2" xfId="0" applyFont="1" applyBorder="1" applyAlignment="1" applyProtection="1">
      <alignment horizontal="left"/>
      <protection locked="0"/>
    </xf>
    <xf numFmtId="2" fontId="16" fillId="2" borderId="2" xfId="0" applyNumberFormat="1" applyFont="1" applyFill="1" applyBorder="1" applyProtection="1">
      <protection locked="0"/>
    </xf>
    <xf numFmtId="168" fontId="16" fillId="2" borderId="2" xfId="2" applyNumberFormat="1" applyFont="1" applyFill="1" applyBorder="1" applyAlignment="1" applyProtection="1">
      <protection locked="0"/>
    </xf>
    <xf numFmtId="2" fontId="17" fillId="5" borderId="2" xfId="2" applyNumberFormat="1" applyFont="1" applyFill="1" applyBorder="1" applyAlignment="1" applyProtection="1">
      <protection locked="0"/>
    </xf>
    <xf numFmtId="0" fontId="16" fillId="2" borderId="2" xfId="0" applyFont="1" applyFill="1" applyBorder="1" applyProtection="1">
      <protection locked="0"/>
    </xf>
    <xf numFmtId="0" fontId="18" fillId="0" borderId="0" xfId="0" applyFont="1" applyAlignment="1" applyProtection="1">
      <alignment vertical="center"/>
      <protection locked="0"/>
    </xf>
    <xf numFmtId="0" fontId="16" fillId="2" borderId="0" xfId="0" applyFont="1" applyFill="1" applyAlignment="1" applyProtection="1">
      <alignment vertical="center"/>
      <protection locked="0"/>
    </xf>
    <xf numFmtId="0" fontId="16" fillId="0" borderId="0" xfId="0" applyFont="1" applyAlignment="1" applyProtection="1">
      <alignment vertical="center"/>
      <protection locked="0"/>
    </xf>
    <xf numFmtId="9" fontId="16" fillId="2" borderId="0" xfId="2" applyFont="1" applyFill="1" applyBorder="1" applyAlignment="1" applyProtection="1">
      <alignment vertical="center"/>
      <protection locked="0"/>
    </xf>
    <xf numFmtId="0" fontId="16" fillId="3" borderId="27" xfId="0" applyFont="1" applyFill="1" applyBorder="1" applyAlignment="1" applyProtection="1">
      <alignment horizontal="left" wrapText="1"/>
      <protection locked="0"/>
    </xf>
    <xf numFmtId="14" fontId="16" fillId="3" borderId="27" xfId="0" applyNumberFormat="1" applyFont="1" applyFill="1" applyBorder="1" applyAlignment="1" applyProtection="1">
      <alignment horizontal="left" wrapText="1"/>
      <protection locked="0"/>
    </xf>
    <xf numFmtId="167" fontId="34" fillId="0" borderId="21" xfId="0" applyNumberFormat="1" applyFont="1" applyBorder="1" applyAlignment="1" applyProtection="1">
      <alignment horizontal="left"/>
      <protection locked="0"/>
    </xf>
    <xf numFmtId="0" fontId="18" fillId="0" borderId="0" xfId="0" applyFont="1" applyAlignment="1" applyProtection="1">
      <alignment wrapText="1"/>
      <protection locked="0"/>
    </xf>
    <xf numFmtId="167" fontId="34" fillId="0" borderId="3" xfId="0" applyNumberFormat="1" applyFont="1" applyBorder="1" applyAlignment="1" applyProtection="1">
      <alignment horizontal="left"/>
      <protection locked="0"/>
    </xf>
    <xf numFmtId="0" fontId="17" fillId="0" borderId="0" xfId="0" applyFont="1" applyAlignment="1" applyProtection="1">
      <alignment vertical="top" wrapText="1"/>
      <protection locked="0"/>
    </xf>
    <xf numFmtId="0" fontId="32" fillId="8" borderId="11" xfId="0" applyFont="1" applyFill="1" applyBorder="1" applyAlignment="1" applyProtection="1">
      <alignment vertical="top"/>
      <protection locked="0"/>
    </xf>
    <xf numFmtId="164" fontId="16" fillId="8" borderId="11" xfId="0" applyNumberFormat="1" applyFont="1" applyFill="1" applyBorder="1" applyAlignment="1" applyProtection="1">
      <alignment vertical="top" wrapText="1"/>
      <protection locked="0"/>
    </xf>
    <xf numFmtId="164" fontId="16" fillId="0" borderId="8" xfId="0" applyNumberFormat="1" applyFont="1" applyBorder="1" applyAlignment="1" applyProtection="1">
      <alignment vertical="top"/>
      <protection locked="0"/>
    </xf>
    <xf numFmtId="2" fontId="17" fillId="8" borderId="4" xfId="0" applyNumberFormat="1" applyFont="1" applyFill="1" applyBorder="1" applyAlignment="1" applyProtection="1">
      <alignment vertical="top"/>
      <protection locked="0"/>
    </xf>
    <xf numFmtId="0" fontId="17" fillId="2" borderId="0" xfId="0" applyFont="1" applyFill="1" applyAlignment="1" applyProtection="1">
      <alignment vertical="top" wrapText="1"/>
      <protection locked="0"/>
    </xf>
    <xf numFmtId="0" fontId="32" fillId="2" borderId="0" xfId="0" applyFont="1" applyFill="1" applyAlignment="1" applyProtection="1">
      <alignment vertical="top"/>
      <protection locked="0"/>
    </xf>
    <xf numFmtId="164" fontId="16" fillId="2" borderId="0" xfId="0" applyNumberFormat="1" applyFont="1" applyFill="1" applyAlignment="1" applyProtection="1">
      <alignment vertical="top" wrapText="1"/>
      <protection locked="0"/>
    </xf>
    <xf numFmtId="2" fontId="17" fillId="2" borderId="0" xfId="0" applyNumberFormat="1" applyFont="1" applyFill="1" applyAlignment="1" applyProtection="1">
      <alignment vertical="top"/>
      <protection locked="0"/>
    </xf>
    <xf numFmtId="164" fontId="17" fillId="2" borderId="0" xfId="0" applyNumberFormat="1" applyFont="1" applyFill="1" applyProtection="1">
      <protection locked="0"/>
    </xf>
    <xf numFmtId="0" fontId="16" fillId="3" borderId="43" xfId="0" applyFont="1" applyFill="1" applyBorder="1" applyAlignment="1" applyProtection="1">
      <alignment wrapText="1"/>
      <protection locked="0"/>
    </xf>
    <xf numFmtId="0" fontId="16" fillId="3" borderId="29" xfId="0" applyFont="1" applyFill="1" applyBorder="1" applyAlignment="1" applyProtection="1">
      <alignment wrapText="1"/>
      <protection locked="0"/>
    </xf>
    <xf numFmtId="0" fontId="16" fillId="2" borderId="1" xfId="0" applyFont="1" applyFill="1" applyBorder="1" applyAlignment="1" applyProtection="1">
      <alignment horizontal="left" wrapText="1"/>
      <protection locked="0"/>
    </xf>
    <xf numFmtId="0" fontId="32" fillId="2" borderId="1" xfId="0" applyFont="1" applyFill="1" applyBorder="1" applyAlignment="1" applyProtection="1">
      <alignment horizontal="right"/>
      <protection locked="0"/>
    </xf>
    <xf numFmtId="49" fontId="32" fillId="2" borderId="1" xfId="0" applyNumberFormat="1" applyFont="1" applyFill="1" applyBorder="1" applyAlignment="1" applyProtection="1">
      <alignment horizontal="right"/>
      <protection locked="0"/>
    </xf>
    <xf numFmtId="0" fontId="16" fillId="2" borderId="0" xfId="0" applyFont="1" applyFill="1" applyAlignment="1" applyProtection="1">
      <alignment horizontal="left" vertical="top" wrapText="1"/>
      <protection locked="0"/>
    </xf>
    <xf numFmtId="0" fontId="32" fillId="2" borderId="0" xfId="0" applyFont="1" applyFill="1" applyAlignment="1" applyProtection="1">
      <alignment horizontal="right" vertical="top"/>
      <protection locked="0"/>
    </xf>
    <xf numFmtId="9" fontId="17" fillId="2" borderId="0" xfId="2" applyFont="1" applyFill="1" applyBorder="1" applyAlignment="1" applyProtection="1">
      <alignment horizontal="right"/>
      <protection locked="0"/>
    </xf>
    <xf numFmtId="0" fontId="32" fillId="2" borderId="0" xfId="0" applyFont="1" applyFill="1" applyAlignment="1" applyProtection="1">
      <alignment horizontal="left" vertical="top"/>
      <protection locked="0"/>
    </xf>
    <xf numFmtId="164" fontId="16" fillId="2" borderId="0" xfId="0" applyNumberFormat="1" applyFont="1" applyFill="1" applyProtection="1">
      <protection locked="0"/>
    </xf>
    <xf numFmtId="0" fontId="22" fillId="6" borderId="28" xfId="0" applyFont="1" applyFill="1" applyBorder="1" applyProtection="1">
      <protection locked="0"/>
    </xf>
    <xf numFmtId="0" fontId="23" fillId="6" borderId="28" xfId="0" applyFont="1" applyFill="1" applyBorder="1" applyProtection="1">
      <protection locked="0"/>
    </xf>
    <xf numFmtId="0" fontId="16" fillId="6" borderId="28" xfId="0" applyFont="1" applyFill="1" applyBorder="1" applyProtection="1">
      <protection locked="0"/>
    </xf>
    <xf numFmtId="0" fontId="23" fillId="7" borderId="26" xfId="0" applyFont="1" applyFill="1" applyBorder="1" applyAlignment="1" applyProtection="1">
      <alignment wrapText="1"/>
      <protection locked="0"/>
    </xf>
    <xf numFmtId="0" fontId="23" fillId="7" borderId="26" xfId="0" applyFont="1" applyFill="1" applyBorder="1" applyProtection="1">
      <protection locked="0"/>
    </xf>
    <xf numFmtId="0" fontId="17" fillId="2" borderId="34" xfId="0" applyFont="1" applyFill="1" applyBorder="1" applyAlignment="1" applyProtection="1">
      <alignment wrapText="1"/>
      <protection locked="0"/>
    </xf>
    <xf numFmtId="0" fontId="17" fillId="2" borderId="34" xfId="0" applyFont="1" applyFill="1" applyBorder="1" applyProtection="1">
      <protection locked="0"/>
    </xf>
    <xf numFmtId="0" fontId="17" fillId="2" borderId="6" xfId="0" applyFont="1" applyFill="1" applyBorder="1" applyProtection="1">
      <protection locked="0"/>
    </xf>
    <xf numFmtId="0" fontId="23" fillId="7" borderId="11" xfId="0" applyFont="1" applyFill="1" applyBorder="1" applyProtection="1">
      <protection locked="0"/>
    </xf>
    <xf numFmtId="0" fontId="23" fillId="7" borderId="11" xfId="0" applyFont="1" applyFill="1" applyBorder="1" applyAlignment="1" applyProtection="1">
      <alignment horizontal="right"/>
      <protection locked="0"/>
    </xf>
    <xf numFmtId="168" fontId="17" fillId="2" borderId="0" xfId="2" applyNumberFormat="1" applyFont="1" applyFill="1" applyBorder="1" applyProtection="1">
      <protection locked="0"/>
    </xf>
    <xf numFmtId="0" fontId="40" fillId="2" borderId="11" xfId="0" applyFont="1" applyFill="1" applyBorder="1" applyProtection="1">
      <protection locked="0"/>
    </xf>
    <xf numFmtId="0" fontId="16" fillId="2" borderId="11" xfId="0" applyFont="1" applyFill="1" applyBorder="1" applyProtection="1">
      <protection locked="0"/>
    </xf>
    <xf numFmtId="0" fontId="16" fillId="2" borderId="6" xfId="0" applyFont="1" applyFill="1" applyBorder="1" applyProtection="1">
      <protection locked="0"/>
    </xf>
    <xf numFmtId="9" fontId="16" fillId="2" borderId="7" xfId="2" applyFont="1" applyFill="1" applyBorder="1" applyAlignment="1" applyProtection="1">
      <protection locked="0"/>
    </xf>
    <xf numFmtId="0" fontId="16" fillId="0" borderId="7" xfId="0" applyFont="1" applyBorder="1" applyProtection="1">
      <protection locked="0"/>
    </xf>
    <xf numFmtId="0" fontId="0" fillId="0" borderId="0" xfId="0" applyAlignment="1" applyProtection="1">
      <alignment wrapText="1"/>
      <protection locked="0"/>
    </xf>
    <xf numFmtId="2" fontId="17" fillId="3" borderId="36" xfId="0" applyNumberFormat="1" applyFont="1" applyFill="1" applyBorder="1" applyAlignment="1">
      <alignment horizontal="right"/>
    </xf>
    <xf numFmtId="0" fontId="17" fillId="3" borderId="4" xfId="0" applyFont="1" applyFill="1" applyBorder="1" applyAlignment="1">
      <alignment horizontal="right"/>
    </xf>
    <xf numFmtId="168" fontId="17" fillId="3" borderId="4" xfId="2" applyNumberFormat="1" applyFont="1" applyFill="1" applyBorder="1" applyAlignment="1" applyProtection="1">
      <alignment horizontal="right"/>
    </xf>
    <xf numFmtId="2" fontId="17" fillId="3" borderId="4" xfId="0" applyNumberFormat="1" applyFont="1" applyFill="1" applyBorder="1" applyAlignment="1">
      <alignment horizontal="right"/>
    </xf>
    <xf numFmtId="168" fontId="17" fillId="3" borderId="4" xfId="0" applyNumberFormat="1" applyFont="1" applyFill="1" applyBorder="1"/>
    <xf numFmtId="2" fontId="29" fillId="5" borderId="4" xfId="0" applyNumberFormat="1" applyFont="1" applyFill="1" applyBorder="1" applyAlignment="1">
      <alignment horizontal="right"/>
    </xf>
    <xf numFmtId="2" fontId="16" fillId="0" borderId="2" xfId="0" applyNumberFormat="1" applyFont="1" applyBorder="1" applyAlignment="1">
      <alignment horizontal="right"/>
    </xf>
    <xf numFmtId="2" fontId="16" fillId="0" borderId="1" xfId="0" applyNumberFormat="1" applyFont="1" applyBorder="1" applyAlignment="1">
      <alignment horizontal="right"/>
    </xf>
    <xf numFmtId="2" fontId="16" fillId="0" borderId="18" xfId="0" applyNumberFormat="1" applyFont="1" applyBorder="1" applyAlignment="1">
      <alignment horizontal="right"/>
    </xf>
    <xf numFmtId="2" fontId="32" fillId="5" borderId="5" xfId="0" applyNumberFormat="1" applyFont="1" applyFill="1" applyBorder="1" applyAlignment="1">
      <alignment horizontal="center"/>
    </xf>
    <xf numFmtId="2" fontId="32" fillId="5" borderId="21" xfId="0" applyNumberFormat="1" applyFont="1" applyFill="1" applyBorder="1" applyAlignment="1">
      <alignment horizontal="center"/>
    </xf>
    <xf numFmtId="168" fontId="16" fillId="5" borderId="1" xfId="2" applyNumberFormat="1" applyFont="1" applyFill="1" applyBorder="1" applyAlignment="1" applyProtection="1">
      <alignment horizontal="right"/>
    </xf>
    <xf numFmtId="0" fontId="16" fillId="3" borderId="5" xfId="0" applyFont="1" applyFill="1" applyBorder="1" applyAlignment="1">
      <alignment horizontal="right" wrapText="1"/>
    </xf>
    <xf numFmtId="2" fontId="16" fillId="0" borderId="2" xfId="0" applyNumberFormat="1" applyFont="1" applyBorder="1" applyAlignment="1">
      <alignment wrapText="1"/>
    </xf>
    <xf numFmtId="2" fontId="16" fillId="3" borderId="5" xfId="0" applyNumberFormat="1" applyFont="1" applyFill="1" applyBorder="1" applyAlignment="1">
      <alignment horizontal="right" wrapText="1"/>
    </xf>
    <xf numFmtId="2" fontId="16" fillId="0" borderId="2" xfId="0" applyNumberFormat="1" applyFont="1" applyBorder="1"/>
    <xf numFmtId="2" fontId="17" fillId="6" borderId="4" xfId="0" applyNumberFormat="1" applyFont="1" applyFill="1" applyBorder="1" applyAlignment="1">
      <alignment vertical="center"/>
    </xf>
    <xf numFmtId="11" fontId="16" fillId="3" borderId="35" xfId="0" applyNumberFormat="1" applyFont="1" applyFill="1" applyBorder="1"/>
    <xf numFmtId="164" fontId="16" fillId="3" borderId="35" xfId="0" applyNumberFormat="1" applyFont="1" applyFill="1" applyBorder="1" applyAlignment="1">
      <alignment wrapText="1"/>
    </xf>
    <xf numFmtId="11" fontId="16" fillId="0" borderId="1" xfId="0" applyNumberFormat="1" applyFont="1" applyBorder="1"/>
    <xf numFmtId="11" fontId="16" fillId="0" borderId="2" xfId="0" applyNumberFormat="1" applyFont="1" applyBorder="1"/>
    <xf numFmtId="2" fontId="16" fillId="3" borderId="35" xfId="0" applyNumberFormat="1" applyFont="1" applyFill="1" applyBorder="1"/>
    <xf numFmtId="2" fontId="17" fillId="6" borderId="2" xfId="0" applyNumberFormat="1" applyFont="1" applyFill="1" applyBorder="1"/>
    <xf numFmtId="2" fontId="17" fillId="6" borderId="24" xfId="0" applyNumberFormat="1" applyFont="1" applyFill="1" applyBorder="1" applyAlignment="1">
      <alignment vertical="center"/>
    </xf>
    <xf numFmtId="2" fontId="17" fillId="3" borderId="12" xfId="0" applyNumberFormat="1" applyFont="1" applyFill="1" applyBorder="1" applyAlignment="1">
      <alignment vertical="top"/>
    </xf>
    <xf numFmtId="2" fontId="17" fillId="5" borderId="8" xfId="0" applyNumberFormat="1" applyFont="1" applyFill="1" applyBorder="1"/>
    <xf numFmtId="164" fontId="17" fillId="5" borderId="4" xfId="0" applyNumberFormat="1" applyFont="1" applyFill="1" applyBorder="1"/>
    <xf numFmtId="9" fontId="17" fillId="5" borderId="1" xfId="2" applyFont="1" applyFill="1" applyBorder="1" applyAlignment="1" applyProtection="1">
      <alignment horizontal="right"/>
    </xf>
    <xf numFmtId="164" fontId="17" fillId="6" borderId="34" xfId="0" applyNumberFormat="1" applyFont="1" applyFill="1" applyBorder="1"/>
    <xf numFmtId="164" fontId="16" fillId="5" borderId="7" xfId="0" applyNumberFormat="1" applyFont="1" applyFill="1" applyBorder="1"/>
    <xf numFmtId="164" fontId="17" fillId="5" borderId="6" xfId="0" applyNumberFormat="1" applyFont="1" applyFill="1" applyBorder="1"/>
    <xf numFmtId="2" fontId="16" fillId="6" borderId="20" xfId="0" applyNumberFormat="1" applyFont="1" applyFill="1" applyBorder="1"/>
    <xf numFmtId="2" fontId="17" fillId="6" borderId="44" xfId="0" applyNumberFormat="1" applyFont="1" applyFill="1" applyBorder="1"/>
    <xf numFmtId="9" fontId="16" fillId="2" borderId="6" xfId="2" applyFont="1" applyFill="1" applyBorder="1" applyAlignment="1" applyProtection="1"/>
    <xf numFmtId="0" fontId="22" fillId="7" borderId="21" xfId="0" applyFont="1" applyFill="1" applyBorder="1" applyAlignment="1">
      <alignment wrapText="1"/>
    </xf>
    <xf numFmtId="0" fontId="23" fillId="2" borderId="0" xfId="0" applyFont="1" applyFill="1"/>
    <xf numFmtId="0" fontId="16" fillId="2" borderId="1" xfId="0" applyFont="1" applyFill="1" applyBorder="1" applyAlignment="1">
      <alignment horizontal="left" vertical="top" wrapText="1"/>
    </xf>
    <xf numFmtId="0" fontId="16" fillId="2" borderId="0" xfId="0" applyFont="1" applyFill="1" applyAlignment="1">
      <alignment vertical="top" wrapText="1"/>
    </xf>
    <xf numFmtId="0" fontId="17" fillId="2" borderId="1" xfId="0" applyFont="1" applyFill="1" applyBorder="1" applyAlignment="1">
      <alignment vertical="top" wrapText="1"/>
    </xf>
    <xf numFmtId="0" fontId="17" fillId="0" borderId="1" xfId="0" applyFont="1" applyBorder="1" applyAlignment="1">
      <alignment vertical="top" wrapText="1"/>
    </xf>
    <xf numFmtId="0" fontId="16" fillId="2" borderId="1" xfId="0" applyFont="1" applyFill="1" applyBorder="1" applyAlignment="1">
      <alignment vertical="top" wrapText="1"/>
    </xf>
    <xf numFmtId="0" fontId="16" fillId="0" borderId="1" xfId="0" applyFont="1" applyBorder="1" applyAlignment="1">
      <alignment vertical="top" wrapText="1"/>
    </xf>
    <xf numFmtId="0" fontId="16" fillId="0" borderId="0" xfId="0" applyFont="1" applyAlignment="1">
      <alignment vertical="top" wrapText="1"/>
    </xf>
    <xf numFmtId="0" fontId="0" fillId="2" borderId="0" xfId="0" applyFill="1"/>
    <xf numFmtId="0" fontId="10" fillId="0" borderId="0" xfId="0" applyFont="1" applyProtection="1">
      <protection locked="0"/>
    </xf>
    <xf numFmtId="0" fontId="14" fillId="6" borderId="0" xfId="0" applyFont="1" applyFill="1" applyAlignment="1">
      <alignment horizontal="left" vertical="center"/>
    </xf>
    <xf numFmtId="0" fontId="13" fillId="6" borderId="0" xfId="0" applyFont="1" applyFill="1" applyAlignment="1">
      <alignment horizontal="left" vertical="center"/>
    </xf>
    <xf numFmtId="0" fontId="17" fillId="3" borderId="1" xfId="0" applyFont="1" applyFill="1" applyBorder="1" applyAlignment="1">
      <alignment horizontal="right"/>
    </xf>
    <xf numFmtId="11" fontId="16" fillId="0" borderId="1" xfId="0" applyNumberFormat="1" applyFont="1" applyBorder="1" applyAlignment="1">
      <alignment horizontal="center"/>
    </xf>
    <xf numFmtId="11" fontId="32" fillId="0" borderId="1" xfId="0" applyNumberFormat="1" applyFont="1" applyBorder="1" applyAlignment="1">
      <alignment horizontal="center"/>
    </xf>
    <xf numFmtId="0" fontId="16" fillId="0" borderId="1" xfId="0" applyFont="1" applyBorder="1" applyAlignment="1">
      <alignment wrapText="1"/>
    </xf>
    <xf numFmtId="0" fontId="23" fillId="7" borderId="0" xfId="0" applyFont="1" applyFill="1"/>
    <xf numFmtId="0" fontId="22" fillId="6" borderId="0" xfId="0" applyFont="1" applyFill="1" applyAlignment="1">
      <alignment horizontal="left" vertical="center"/>
    </xf>
    <xf numFmtId="0" fontId="16" fillId="6" borderId="0" xfId="0" applyFont="1" applyFill="1"/>
    <xf numFmtId="0" fontId="17" fillId="0" borderId="0" xfId="0" applyFont="1" applyAlignment="1">
      <alignment horizontal="left" vertical="center"/>
    </xf>
    <xf numFmtId="0" fontId="16" fillId="0" borderId="0" xfId="0" applyFont="1" applyAlignment="1">
      <alignment vertical="center"/>
    </xf>
    <xf numFmtId="0" fontId="17" fillId="3" borderId="56" xfId="0" applyFont="1" applyFill="1" applyBorder="1"/>
    <xf numFmtId="0" fontId="17" fillId="3" borderId="56" xfId="0" applyFont="1" applyFill="1" applyBorder="1" applyAlignment="1">
      <alignment wrapText="1"/>
    </xf>
    <xf numFmtId="0" fontId="16" fillId="0" borderId="56" xfId="0" applyFont="1" applyBorder="1" applyAlignment="1">
      <alignment horizontal="left"/>
    </xf>
    <xf numFmtId="0" fontId="16" fillId="0" borderId="56" xfId="0" applyFont="1" applyBorder="1" applyAlignment="1">
      <alignment wrapText="1"/>
    </xf>
    <xf numFmtId="15" fontId="0" fillId="0" borderId="0" xfId="0" applyNumberFormat="1"/>
    <xf numFmtId="0" fontId="0" fillId="0" borderId="0" xfId="0" applyAlignment="1">
      <alignment wrapText="1"/>
    </xf>
    <xf numFmtId="0" fontId="45" fillId="0" borderId="0" xfId="0" applyFont="1" applyAlignment="1">
      <alignment wrapText="1"/>
    </xf>
    <xf numFmtId="0" fontId="17" fillId="3" borderId="21" xfId="0" applyFont="1" applyFill="1" applyBorder="1" applyAlignment="1">
      <alignment wrapText="1"/>
    </xf>
    <xf numFmtId="166" fontId="16" fillId="0" borderId="21" xfId="0" applyNumberFormat="1" applyFont="1" applyBorder="1"/>
    <xf numFmtId="0" fontId="47" fillId="3" borderId="0" xfId="0" applyFont="1" applyFill="1" applyAlignment="1">
      <alignment wrapText="1"/>
    </xf>
    <xf numFmtId="0" fontId="48" fillId="6" borderId="0" xfId="0" applyFont="1" applyFill="1"/>
    <xf numFmtId="0" fontId="48" fillId="3" borderId="0" xfId="0" applyFont="1" applyFill="1"/>
    <xf numFmtId="0" fontId="48" fillId="0" borderId="0" xfId="0" applyFont="1"/>
    <xf numFmtId="0" fontId="24" fillId="2" borderId="6" xfId="0" applyFont="1" applyFill="1" applyBorder="1" applyAlignment="1" applyProtection="1">
      <alignment horizontal="left"/>
      <protection locked="0"/>
    </xf>
    <xf numFmtId="169" fontId="32" fillId="2" borderId="32" xfId="2" applyNumberFormat="1" applyFont="1" applyFill="1" applyBorder="1" applyAlignment="1" applyProtection="1">
      <alignment horizontal="right"/>
      <protection locked="0"/>
    </xf>
    <xf numFmtId="168" fontId="32" fillId="2" borderId="20" xfId="2" applyNumberFormat="1" applyFont="1" applyFill="1" applyBorder="1" applyAlignment="1" applyProtection="1">
      <alignment horizontal="right"/>
    </xf>
    <xf numFmtId="2" fontId="29" fillId="2" borderId="32" xfId="2" applyNumberFormat="1" applyFont="1" applyFill="1" applyBorder="1" applyAlignment="1" applyProtection="1">
      <alignment horizontal="right"/>
    </xf>
    <xf numFmtId="2" fontId="29" fillId="6" borderId="32" xfId="0" applyNumberFormat="1" applyFont="1" applyFill="1" applyBorder="1" applyAlignment="1">
      <alignment horizontal="right"/>
    </xf>
    <xf numFmtId="169" fontId="16" fillId="2" borderId="32" xfId="0" applyNumberFormat="1" applyFont="1" applyFill="1" applyBorder="1" applyAlignment="1" applyProtection="1">
      <alignment horizontal="right" wrapText="1"/>
      <protection locked="0"/>
    </xf>
    <xf numFmtId="0" fontId="16" fillId="2" borderId="1" xfId="0" applyFont="1" applyFill="1" applyBorder="1"/>
    <xf numFmtId="0" fontId="16" fillId="2" borderId="0" xfId="0" applyFont="1" applyFill="1" applyAlignment="1">
      <alignment horizontal="right"/>
    </xf>
    <xf numFmtId="0" fontId="2" fillId="0" borderId="0" xfId="1" applyFill="1" applyAlignment="1">
      <alignment vertical="center" wrapText="1"/>
    </xf>
    <xf numFmtId="0" fontId="3" fillId="7" borderId="0" xfId="0" applyFont="1" applyFill="1" applyProtection="1">
      <protection locked="0"/>
    </xf>
    <xf numFmtId="2" fontId="17" fillId="6" borderId="50" xfId="0" applyNumberFormat="1" applyFont="1" applyFill="1" applyBorder="1"/>
    <xf numFmtId="0" fontId="16" fillId="2" borderId="11" xfId="0" applyFont="1" applyFill="1" applyBorder="1" applyAlignment="1" applyProtection="1">
      <alignment horizontal="left"/>
      <protection locked="0"/>
    </xf>
    <xf numFmtId="2" fontId="16" fillId="6" borderId="44" xfId="0" applyNumberFormat="1" applyFont="1" applyFill="1" applyBorder="1"/>
    <xf numFmtId="164" fontId="16" fillId="0" borderId="1" xfId="0" applyNumberFormat="1" applyFont="1" applyBorder="1"/>
    <xf numFmtId="2" fontId="16" fillId="3" borderId="1" xfId="0" applyNumberFormat="1" applyFont="1" applyFill="1" applyBorder="1" applyAlignment="1">
      <alignment wrapText="1"/>
    </xf>
    <xf numFmtId="2" fontId="16" fillId="2" borderId="4" xfId="0" applyNumberFormat="1" applyFont="1" applyFill="1" applyBorder="1" applyAlignment="1">
      <alignment vertical="center" wrapText="1"/>
    </xf>
    <xf numFmtId="2" fontId="16" fillId="2" borderId="2" xfId="0" applyNumberFormat="1" applyFont="1" applyFill="1" applyBorder="1"/>
    <xf numFmtId="0" fontId="16" fillId="2" borderId="0" xfId="0" applyFont="1" applyFill="1" applyAlignment="1" applyProtection="1">
      <alignment horizontal="left"/>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53" xfId="0" applyFill="1" applyBorder="1" applyProtection="1">
      <protection locked="0"/>
    </xf>
    <xf numFmtId="0" fontId="3" fillId="7" borderId="53" xfId="0" applyFont="1" applyFill="1" applyBorder="1" applyProtection="1">
      <protection locked="0"/>
    </xf>
    <xf numFmtId="0" fontId="16" fillId="2" borderId="1" xfId="0" applyFont="1" applyFill="1" applyBorder="1" applyAlignment="1" applyProtection="1">
      <alignment vertical="center" wrapText="1"/>
      <protection locked="0"/>
    </xf>
    <xf numFmtId="168" fontId="16" fillId="2" borderId="0" xfId="2" applyNumberFormat="1" applyFont="1" applyFill="1" applyBorder="1" applyAlignment="1" applyProtection="1">
      <alignment horizontal="right"/>
    </xf>
    <xf numFmtId="168" fontId="16" fillId="0" borderId="0" xfId="2" applyNumberFormat="1" applyFont="1" applyBorder="1" applyProtection="1"/>
    <xf numFmtId="168" fontId="16" fillId="2" borderId="53" xfId="2" applyNumberFormat="1" applyFont="1" applyFill="1" applyBorder="1" applyAlignment="1" applyProtection="1"/>
    <xf numFmtId="168" fontId="16" fillId="2" borderId="53" xfId="2" applyNumberFormat="1" applyFont="1" applyFill="1" applyBorder="1" applyAlignment="1" applyProtection="1">
      <alignment horizontal="right"/>
    </xf>
    <xf numFmtId="0" fontId="16" fillId="3" borderId="1" xfId="0" applyFont="1" applyFill="1" applyBorder="1" applyAlignment="1" applyProtection="1">
      <alignment wrapText="1"/>
      <protection locked="0"/>
    </xf>
    <xf numFmtId="168" fontId="16" fillId="0" borderId="0" xfId="2" applyNumberFormat="1" applyFont="1" applyBorder="1" applyAlignment="1" applyProtection="1">
      <alignment horizontal="right"/>
    </xf>
    <xf numFmtId="0" fontId="18" fillId="2" borderId="10" xfId="0" applyFont="1" applyFill="1" applyBorder="1" applyProtection="1">
      <protection locked="0"/>
    </xf>
    <xf numFmtId="168" fontId="16" fillId="2" borderId="53" xfId="2" applyNumberFormat="1" applyFont="1" applyFill="1" applyBorder="1" applyProtection="1"/>
    <xf numFmtId="168" fontId="16" fillId="0" borderId="0" xfId="2" applyNumberFormat="1" applyFont="1" applyFill="1" applyBorder="1" applyAlignment="1" applyProtection="1">
      <alignment horizontal="right" vertical="center"/>
    </xf>
    <xf numFmtId="168" fontId="16" fillId="2" borderId="6" xfId="2" applyNumberFormat="1" applyFont="1" applyFill="1" applyBorder="1" applyAlignment="1" applyProtection="1">
      <alignment vertical="center"/>
    </xf>
    <xf numFmtId="168" fontId="16" fillId="2" borderId="7" xfId="2" applyNumberFormat="1" applyFont="1" applyFill="1" applyBorder="1" applyAlignment="1" applyProtection="1">
      <alignment horizontal="right" vertical="center"/>
    </xf>
    <xf numFmtId="168" fontId="16" fillId="2" borderId="7" xfId="2" applyNumberFormat="1" applyFont="1" applyFill="1" applyBorder="1" applyAlignment="1" applyProtection="1">
      <alignment vertical="center"/>
    </xf>
    <xf numFmtId="168" fontId="16" fillId="2" borderId="7" xfId="2" applyNumberFormat="1" applyFont="1" applyFill="1" applyBorder="1" applyAlignment="1" applyProtection="1">
      <alignment vertical="center" wrapText="1"/>
    </xf>
    <xf numFmtId="0" fontId="18" fillId="0" borderId="0" xfId="0" applyFont="1" applyAlignment="1" applyProtection="1">
      <alignment horizontal="right" vertical="center"/>
      <protection locked="0"/>
    </xf>
    <xf numFmtId="0" fontId="0" fillId="0" borderId="0" xfId="0" applyAlignment="1" applyProtection="1">
      <alignment horizontal="center"/>
      <protection locked="0"/>
    </xf>
    <xf numFmtId="0" fontId="16" fillId="2" borderId="0" xfId="0" applyFont="1" applyFill="1" applyAlignment="1">
      <alignment horizontal="right" vertical="center" wrapText="1"/>
    </xf>
    <xf numFmtId="9" fontId="16" fillId="2" borderId="0" xfId="2" applyFont="1" applyFill="1" applyBorder="1" applyAlignment="1">
      <alignment vertical="top" wrapText="1"/>
    </xf>
    <xf numFmtId="0" fontId="16" fillId="6" borderId="58" xfId="0" applyFont="1" applyFill="1" applyBorder="1" applyProtection="1">
      <protection locked="0"/>
    </xf>
    <xf numFmtId="0" fontId="23" fillId="7" borderId="59" xfId="0" applyFont="1" applyFill="1" applyBorder="1" applyProtection="1">
      <protection locked="0"/>
    </xf>
    <xf numFmtId="2" fontId="16" fillId="6" borderId="32" xfId="0" applyNumberFormat="1" applyFont="1" applyFill="1" applyBorder="1"/>
    <xf numFmtId="2" fontId="16" fillId="6" borderId="53" xfId="0" applyNumberFormat="1" applyFont="1" applyFill="1" applyBorder="1"/>
    <xf numFmtId="2" fontId="16" fillId="5" borderId="32" xfId="0" applyNumberFormat="1" applyFont="1" applyFill="1" applyBorder="1"/>
    <xf numFmtId="2" fontId="16" fillId="5" borderId="53" xfId="0" applyNumberFormat="1" applyFont="1" applyFill="1" applyBorder="1"/>
    <xf numFmtId="2" fontId="16" fillId="5" borderId="20" xfId="0" applyNumberFormat="1" applyFont="1" applyFill="1" applyBorder="1"/>
    <xf numFmtId="2" fontId="16" fillId="2" borderId="53" xfId="0" applyNumberFormat="1" applyFont="1" applyFill="1" applyBorder="1"/>
    <xf numFmtId="1" fontId="16" fillId="2" borderId="0" xfId="0" applyNumberFormat="1" applyFont="1" applyFill="1" applyProtection="1">
      <protection locked="0"/>
    </xf>
    <xf numFmtId="0" fontId="22" fillId="6" borderId="0" xfId="0" applyFont="1" applyFill="1" applyProtection="1">
      <protection locked="0"/>
    </xf>
    <xf numFmtId="0" fontId="16" fillId="6" borderId="0" xfId="0" applyFont="1" applyFill="1" applyProtection="1">
      <protection locked="0"/>
    </xf>
    <xf numFmtId="1" fontId="16" fillId="6" borderId="0" xfId="0" applyNumberFormat="1" applyFont="1" applyFill="1" applyProtection="1">
      <protection locked="0"/>
    </xf>
    <xf numFmtId="2" fontId="16" fillId="6" borderId="0" xfId="0" applyNumberFormat="1" applyFont="1" applyFill="1" applyProtection="1">
      <protection locked="0"/>
    </xf>
    <xf numFmtId="0" fontId="38" fillId="6" borderId="0" xfId="0" applyFont="1" applyFill="1" applyProtection="1">
      <protection locked="0"/>
    </xf>
    <xf numFmtId="0" fontId="39" fillId="6" borderId="0" xfId="0" applyFont="1" applyFill="1" applyAlignment="1" applyProtection="1">
      <alignment horizontal="right"/>
      <protection locked="0"/>
    </xf>
    <xf numFmtId="0" fontId="18" fillId="2" borderId="0" xfId="0" applyFont="1" applyFill="1" applyProtection="1">
      <protection locked="0"/>
    </xf>
    <xf numFmtId="0" fontId="17" fillId="2" borderId="0" xfId="0" applyFont="1" applyFill="1" applyAlignment="1" applyProtection="1">
      <alignment wrapText="1"/>
      <protection locked="0"/>
    </xf>
    <xf numFmtId="9" fontId="16" fillId="2" borderId="50" xfId="2" applyFont="1" applyFill="1" applyBorder="1" applyAlignment="1" applyProtection="1">
      <protection locked="0"/>
    </xf>
    <xf numFmtId="0" fontId="16" fillId="0" borderId="53" xfId="0" applyFont="1" applyBorder="1" applyProtection="1">
      <protection locked="0"/>
    </xf>
    <xf numFmtId="2" fontId="0" fillId="2" borderId="0" xfId="0" applyNumberFormat="1" applyFill="1" applyProtection="1">
      <protection locked="0"/>
    </xf>
    <xf numFmtId="0" fontId="16" fillId="2" borderId="20" xfId="0" applyFont="1" applyFill="1" applyBorder="1" applyAlignment="1">
      <alignment horizontal="left" vertical="top" wrapText="1"/>
    </xf>
    <xf numFmtId="0" fontId="16" fillId="2" borderId="33" xfId="0" applyFont="1" applyFill="1" applyBorder="1" applyAlignment="1" applyProtection="1">
      <alignment horizontal="left" wrapText="1"/>
      <protection locked="0"/>
    </xf>
    <xf numFmtId="0" fontId="16" fillId="2" borderId="48" xfId="0" applyFont="1" applyFill="1" applyBorder="1" applyAlignment="1" applyProtection="1">
      <alignment horizontal="left" wrapText="1"/>
      <protection locked="0"/>
    </xf>
    <xf numFmtId="0" fontId="17" fillId="3" borderId="22" xfId="0" applyFont="1" applyFill="1" applyBorder="1" applyAlignment="1" applyProtection="1">
      <alignment vertical="top" wrapText="1"/>
      <protection locked="0"/>
    </xf>
    <xf numFmtId="0" fontId="17" fillId="3" borderId="44" xfId="0" applyFont="1" applyFill="1" applyBorder="1" applyAlignment="1" applyProtection="1">
      <alignment vertical="top" wrapText="1"/>
      <protection locked="0"/>
    </xf>
    <xf numFmtId="0" fontId="24" fillId="2" borderId="35" xfId="0" applyFont="1" applyFill="1" applyBorder="1" applyAlignment="1" applyProtection="1">
      <alignment horizontal="left" vertical="top" wrapText="1"/>
      <protection locked="0"/>
    </xf>
    <xf numFmtId="0" fontId="17" fillId="2" borderId="48" xfId="0" applyFont="1" applyFill="1" applyBorder="1" applyAlignment="1">
      <alignment vertical="top" wrapText="1"/>
    </xf>
    <xf numFmtId="0" fontId="24" fillId="2" borderId="1" xfId="0" applyFont="1" applyFill="1" applyBorder="1" applyAlignment="1" applyProtection="1">
      <alignment horizontal="left" vertical="top" wrapText="1"/>
      <protection locked="0"/>
    </xf>
    <xf numFmtId="0" fontId="16" fillId="2" borderId="60" xfId="0" applyFont="1" applyFill="1" applyBorder="1" applyAlignment="1" applyProtection="1">
      <alignment vertical="center" wrapText="1"/>
      <protection locked="0"/>
    </xf>
    <xf numFmtId="1" fontId="32" fillId="2" borderId="5" xfId="0" applyNumberFormat="1" applyFont="1" applyFill="1" applyBorder="1" applyAlignment="1" applyProtection="1">
      <alignment horizontal="right"/>
      <protection locked="0"/>
    </xf>
    <xf numFmtId="0" fontId="39" fillId="6" borderId="53" xfId="0" applyFont="1" applyFill="1" applyBorder="1" applyAlignment="1" applyProtection="1">
      <alignment horizontal="right" vertical="center"/>
      <protection locked="0"/>
    </xf>
    <xf numFmtId="0" fontId="16" fillId="0" borderId="1" xfId="0" applyFont="1" applyBorder="1" applyAlignment="1" applyProtection="1">
      <alignment horizontal="left"/>
      <protection locked="0"/>
    </xf>
    <xf numFmtId="0" fontId="23" fillId="7" borderId="28" xfId="0" applyFont="1" applyFill="1" applyBorder="1" applyAlignment="1">
      <alignment horizontal="right" vertical="center"/>
    </xf>
    <xf numFmtId="0" fontId="16" fillId="7" borderId="28" xfId="0" applyFont="1" applyFill="1" applyBorder="1" applyAlignment="1">
      <alignment horizontal="right" vertical="center"/>
    </xf>
    <xf numFmtId="1" fontId="22" fillId="7" borderId="58" xfId="0" applyNumberFormat="1" applyFont="1" applyFill="1" applyBorder="1" applyAlignment="1">
      <alignment horizontal="right" vertical="center"/>
    </xf>
    <xf numFmtId="2" fontId="16" fillId="2" borderId="0" xfId="0" applyNumberFormat="1" applyFont="1" applyFill="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right" vertical="center"/>
    </xf>
    <xf numFmtId="2" fontId="23" fillId="7" borderId="11" xfId="0" applyNumberFormat="1" applyFont="1" applyFill="1" applyBorder="1" applyAlignment="1">
      <alignment horizontal="right" vertical="center"/>
    </xf>
    <xf numFmtId="2" fontId="22" fillId="7" borderId="50" xfId="0" applyNumberFormat="1" applyFont="1" applyFill="1" applyBorder="1" applyAlignment="1">
      <alignment horizontal="right" vertical="center"/>
    </xf>
    <xf numFmtId="0" fontId="16" fillId="0" borderId="1" xfId="0" applyFont="1" applyBorder="1" applyAlignment="1">
      <alignment horizontal="center" vertical="center"/>
    </xf>
    <xf numFmtId="0" fontId="16" fillId="2" borderId="0" xfId="0" applyFont="1" applyFill="1"/>
    <xf numFmtId="0" fontId="16" fillId="2" borderId="0" xfId="0" applyFont="1" applyFill="1" applyAlignment="1">
      <alignment horizontal="center" vertical="center"/>
    </xf>
    <xf numFmtId="1" fontId="32" fillId="2" borderId="2" xfId="0" applyNumberFormat="1" applyFont="1" applyFill="1" applyBorder="1" applyAlignment="1" applyProtection="1">
      <alignment horizontal="right"/>
      <protection locked="0"/>
    </xf>
    <xf numFmtId="0" fontId="16" fillId="2" borderId="1" xfId="0" applyFont="1" applyFill="1" applyBorder="1" applyAlignment="1">
      <alignment horizontal="right" vertical="center" wrapText="1"/>
    </xf>
    <xf numFmtId="164" fontId="16" fillId="2" borderId="1" xfId="0" applyNumberFormat="1" applyFont="1" applyFill="1" applyBorder="1" applyAlignment="1">
      <alignment horizontal="right" vertical="center"/>
    </xf>
    <xf numFmtId="1" fontId="16" fillId="2" borderId="1" xfId="0" applyNumberFormat="1" applyFont="1" applyFill="1" applyBorder="1" applyAlignment="1">
      <alignment horizontal="right" vertical="center"/>
    </xf>
    <xf numFmtId="2" fontId="16" fillId="2" borderId="1" xfId="0" applyNumberFormat="1" applyFont="1" applyFill="1" applyBorder="1" applyAlignment="1">
      <alignment horizontal="right" vertical="center"/>
    </xf>
    <xf numFmtId="164" fontId="16" fillId="2" borderId="1" xfId="0" applyNumberFormat="1" applyFont="1" applyFill="1" applyBorder="1" applyAlignment="1">
      <alignment horizontal="right" vertical="center" wrapText="1"/>
    </xf>
    <xf numFmtId="0" fontId="16" fillId="2" borderId="1" xfId="0" applyFont="1" applyFill="1" applyBorder="1" applyAlignment="1">
      <alignment horizontal="left" vertical="center"/>
    </xf>
    <xf numFmtId="0" fontId="17" fillId="3" borderId="26" xfId="0" applyFont="1" applyFill="1" applyBorder="1" applyAlignment="1" applyProtection="1">
      <alignment horizontal="right" vertical="center" wrapText="1"/>
      <protection locked="0"/>
    </xf>
    <xf numFmtId="2" fontId="0" fillId="0" borderId="0" xfId="0" applyNumberFormat="1" applyProtection="1">
      <protection locked="0"/>
    </xf>
    <xf numFmtId="14" fontId="0" fillId="0" borderId="0" xfId="0" applyNumberFormat="1" applyProtection="1">
      <protection locked="0"/>
    </xf>
    <xf numFmtId="0" fontId="9" fillId="6" borderId="0" xfId="0" applyFont="1" applyFill="1" applyAlignment="1" applyProtection="1">
      <alignment vertical="center"/>
      <protection locked="0"/>
    </xf>
    <xf numFmtId="0" fontId="16" fillId="0" borderId="21" xfId="0" applyFont="1" applyBorder="1" applyAlignment="1" applyProtection="1">
      <alignment horizontal="left" wrapText="1"/>
      <protection locked="0"/>
    </xf>
    <xf numFmtId="0" fontId="16" fillId="2" borderId="7" xfId="0" applyFont="1" applyFill="1" applyBorder="1" applyAlignment="1" applyProtection="1">
      <alignment horizontal="left"/>
      <protection locked="0"/>
    </xf>
    <xf numFmtId="49" fontId="16" fillId="3" borderId="4" xfId="0" applyNumberFormat="1" applyFont="1" applyFill="1" applyBorder="1" applyAlignment="1" applyProtection="1">
      <alignment horizontal="left" wrapText="1"/>
      <protection locked="0"/>
    </xf>
    <xf numFmtId="0" fontId="16" fillId="2" borderId="0" xfId="0" applyFont="1" applyFill="1" applyAlignment="1">
      <alignment horizontal="left" vertical="top" wrapText="1"/>
    </xf>
    <xf numFmtId="0" fontId="16" fillId="0" borderId="18" xfId="0" applyFont="1" applyBorder="1" applyAlignment="1">
      <alignment vertical="top" wrapText="1"/>
    </xf>
    <xf numFmtId="49" fontId="32" fillId="3" borderId="9" xfId="0" applyNumberFormat="1" applyFont="1" applyFill="1" applyBorder="1" applyAlignment="1" applyProtection="1">
      <alignment horizontal="left" wrapText="1"/>
      <protection locked="0"/>
    </xf>
    <xf numFmtId="0" fontId="16" fillId="2" borderId="0" xfId="0" applyFont="1" applyFill="1" applyAlignment="1" applyProtection="1">
      <alignment horizontal="center"/>
      <protection locked="0"/>
    </xf>
    <xf numFmtId="0" fontId="16" fillId="2" borderId="0" xfId="0" applyFont="1" applyFill="1" applyAlignment="1" applyProtection="1">
      <alignment horizontal="left" wrapText="1"/>
      <protection locked="0"/>
    </xf>
    <xf numFmtId="0" fontId="16" fillId="2" borderId="53" xfId="0" applyFont="1" applyFill="1" applyBorder="1" applyAlignment="1" applyProtection="1">
      <alignment horizontal="left" wrapText="1"/>
      <protection locked="0"/>
    </xf>
    <xf numFmtId="0" fontId="22" fillId="7" borderId="12" xfId="0" applyFont="1" applyFill="1" applyBorder="1" applyAlignment="1" applyProtection="1">
      <alignment horizontal="right" vertical="center" wrapText="1"/>
      <protection locked="0"/>
    </xf>
    <xf numFmtId="0" fontId="22" fillId="7" borderId="25" xfId="0" applyFont="1" applyFill="1" applyBorder="1" applyAlignment="1" applyProtection="1">
      <alignment horizontal="right" vertical="center" wrapText="1"/>
      <protection locked="0"/>
    </xf>
    <xf numFmtId="0" fontId="16" fillId="3" borderId="24" xfId="0" applyFont="1" applyFill="1" applyBorder="1" applyAlignment="1" applyProtection="1">
      <alignment wrapText="1"/>
      <protection locked="0"/>
    </xf>
    <xf numFmtId="0" fontId="16" fillId="3" borderId="12" xfId="0" applyFont="1" applyFill="1" applyBorder="1" applyAlignment="1" applyProtection="1">
      <alignment wrapText="1"/>
      <protection locked="0"/>
    </xf>
    <xf numFmtId="164" fontId="16" fillId="3" borderId="14" xfId="0" applyNumberFormat="1" applyFont="1" applyFill="1" applyBorder="1" applyAlignment="1" applyProtection="1">
      <alignment horizontal="left" wrapText="1"/>
      <protection locked="0"/>
    </xf>
    <xf numFmtId="164" fontId="16" fillId="3" borderId="15" xfId="0" applyNumberFormat="1" applyFont="1" applyFill="1" applyBorder="1" applyAlignment="1" applyProtection="1">
      <alignment horizontal="left" wrapText="1"/>
      <protection locked="0"/>
    </xf>
    <xf numFmtId="164" fontId="16" fillId="0" borderId="21" xfId="0" applyNumberFormat="1" applyFont="1" applyBorder="1" applyAlignment="1" applyProtection="1">
      <alignment horizontal="left" wrapText="1"/>
      <protection locked="0"/>
    </xf>
    <xf numFmtId="164" fontId="16" fillId="0" borderId="7" xfId="0" applyNumberFormat="1" applyFont="1" applyBorder="1" applyAlignment="1" applyProtection="1">
      <alignment horizontal="left" wrapText="1"/>
      <protection locked="0"/>
    </xf>
    <xf numFmtId="164" fontId="16" fillId="0" borderId="22" xfId="0" applyNumberFormat="1" applyFont="1" applyBorder="1" applyAlignment="1" applyProtection="1">
      <alignment horizontal="left" wrapText="1"/>
      <protection locked="0"/>
    </xf>
    <xf numFmtId="164" fontId="16" fillId="0" borderId="9" xfId="0" applyNumberFormat="1" applyFont="1" applyBorder="1" applyAlignment="1" applyProtection="1">
      <alignment horizontal="left" wrapText="1"/>
      <protection locked="0"/>
    </xf>
    <xf numFmtId="0" fontId="16" fillId="2" borderId="0" xfId="0" applyFont="1" applyFill="1" applyAlignment="1" applyProtection="1">
      <alignment horizontal="center"/>
      <protection locked="0"/>
    </xf>
    <xf numFmtId="0" fontId="16" fillId="2" borderId="7" xfId="0" applyFont="1" applyFill="1" applyBorder="1" applyAlignment="1" applyProtection="1">
      <alignment horizontal="left" wrapText="1"/>
      <protection locked="0"/>
    </xf>
    <xf numFmtId="0" fontId="16" fillId="2" borderId="0" xfId="0" applyFont="1" applyFill="1" applyAlignment="1" applyProtection="1">
      <alignment horizontal="left" wrapText="1"/>
      <protection locked="0"/>
    </xf>
    <xf numFmtId="0" fontId="16" fillId="2" borderId="53" xfId="0" applyFont="1" applyFill="1" applyBorder="1" applyAlignment="1" applyProtection="1">
      <alignment horizontal="left" wrapText="1"/>
      <protection locked="0"/>
    </xf>
    <xf numFmtId="0" fontId="19" fillId="0" borderId="0" xfId="0" applyFont="1" applyAlignment="1" applyProtection="1">
      <alignment horizontal="left" wrapText="1"/>
      <protection locked="0"/>
    </xf>
    <xf numFmtId="0" fontId="19" fillId="0" borderId="53" xfId="0" applyFont="1" applyBorder="1" applyAlignment="1" applyProtection="1">
      <alignment horizontal="left" wrapText="1"/>
      <protection locked="0"/>
    </xf>
    <xf numFmtId="0" fontId="16" fillId="2" borderId="6" xfId="0" applyFont="1" applyFill="1" applyBorder="1" applyAlignment="1" applyProtection="1">
      <alignment horizontal="left"/>
      <protection locked="0"/>
    </xf>
    <xf numFmtId="0" fontId="16" fillId="2" borderId="6" xfId="0" applyFont="1" applyFill="1" applyBorder="1" applyAlignment="1" applyProtection="1">
      <alignment horizontal="left" wrapText="1"/>
      <protection locked="0"/>
    </xf>
    <xf numFmtId="0" fontId="24" fillId="2" borderId="7" xfId="0" applyFont="1" applyFill="1" applyBorder="1" applyAlignment="1" applyProtection="1">
      <alignment horizontal="left" wrapText="1"/>
      <protection locked="0"/>
    </xf>
    <xf numFmtId="0" fontId="24" fillId="2" borderId="20" xfId="0" applyFont="1" applyFill="1" applyBorder="1" applyAlignment="1" applyProtection="1">
      <alignment horizontal="left" wrapText="1"/>
      <protection locked="0"/>
    </xf>
    <xf numFmtId="0" fontId="17" fillId="2" borderId="6" xfId="0" applyFont="1" applyFill="1" applyBorder="1" applyAlignment="1" applyProtection="1">
      <alignment horizontal="left" wrapText="1"/>
      <protection locked="0"/>
    </xf>
    <xf numFmtId="0" fontId="24" fillId="2" borderId="6" xfId="0" applyFont="1" applyFill="1" applyBorder="1" applyAlignment="1" applyProtection="1">
      <alignment horizontal="left" wrapText="1"/>
      <protection locked="0"/>
    </xf>
    <xf numFmtId="0" fontId="24" fillId="2" borderId="7" xfId="0" applyFont="1" applyFill="1" applyBorder="1" applyAlignment="1" applyProtection="1">
      <alignment horizontal="left"/>
      <protection locked="0"/>
    </xf>
    <xf numFmtId="0" fontId="24" fillId="2" borderId="20" xfId="0" applyFont="1" applyFill="1" applyBorder="1" applyAlignment="1" applyProtection="1">
      <alignment horizontal="left"/>
      <protection locked="0"/>
    </xf>
    <xf numFmtId="49" fontId="16" fillId="3" borderId="9" xfId="0" applyNumberFormat="1" applyFont="1" applyFill="1" applyBorder="1" applyAlignment="1" applyProtection="1">
      <alignment wrapText="1"/>
      <protection locked="0"/>
    </xf>
    <xf numFmtId="0" fontId="16" fillId="3" borderId="9" xfId="0" applyFont="1" applyFill="1" applyBorder="1" applyAlignment="1" applyProtection="1">
      <alignment wrapText="1"/>
      <protection locked="0"/>
    </xf>
    <xf numFmtId="0" fontId="16" fillId="0" borderId="7" xfId="0" applyFont="1" applyBorder="1" applyAlignment="1" applyProtection="1">
      <alignment horizontal="left"/>
      <protection locked="0"/>
    </xf>
    <xf numFmtId="0" fontId="16" fillId="2" borderId="7"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top" wrapText="1"/>
      <protection locked="0"/>
    </xf>
    <xf numFmtId="0" fontId="27" fillId="2" borderId="48" xfId="0" applyFont="1" applyFill="1" applyBorder="1" applyAlignment="1" applyProtection="1">
      <alignment horizontal="left" vertical="top" wrapText="1"/>
      <protection locked="0"/>
    </xf>
    <xf numFmtId="0" fontId="16" fillId="3" borderId="33" xfId="0" applyFont="1" applyFill="1" applyBorder="1" applyAlignment="1" applyProtection="1">
      <alignment wrapText="1"/>
      <protection locked="0"/>
    </xf>
    <xf numFmtId="0" fontId="16" fillId="3" borderId="17" xfId="0" applyFont="1" applyFill="1" applyBorder="1" applyAlignment="1" applyProtection="1">
      <alignment wrapText="1"/>
      <protection locked="0"/>
    </xf>
    <xf numFmtId="0" fontId="16" fillId="3" borderId="48" xfId="0" applyFont="1" applyFill="1" applyBorder="1" applyAlignment="1" applyProtection="1">
      <alignment wrapText="1"/>
      <protection locked="0"/>
    </xf>
    <xf numFmtId="0" fontId="16" fillId="3" borderId="13" xfId="0" applyFont="1" applyFill="1" applyBorder="1" applyAlignment="1" applyProtection="1">
      <alignment wrapText="1"/>
      <protection locked="0"/>
    </xf>
    <xf numFmtId="0" fontId="16" fillId="3" borderId="11" xfId="0" applyFont="1" applyFill="1" applyBorder="1" applyAlignment="1" applyProtection="1">
      <alignment wrapText="1"/>
      <protection locked="0"/>
    </xf>
    <xf numFmtId="0" fontId="16" fillId="3" borderId="50" xfId="0" applyFont="1" applyFill="1" applyBorder="1" applyAlignment="1" applyProtection="1">
      <alignment wrapText="1"/>
      <protection locked="0"/>
    </xf>
    <xf numFmtId="0" fontId="22" fillId="7" borderId="24" xfId="0" applyFont="1" applyFill="1" applyBorder="1" applyAlignment="1" applyProtection="1">
      <alignment horizontal="right" vertical="center" wrapText="1"/>
      <protection locked="0"/>
    </xf>
    <xf numFmtId="0" fontId="23" fillId="2" borderId="15" xfId="0" applyFont="1" applyFill="1" applyBorder="1" applyAlignment="1" applyProtection="1">
      <alignment horizontal="left"/>
      <protection locked="0"/>
    </xf>
    <xf numFmtId="0" fontId="16" fillId="0" borderId="15" xfId="0" applyFont="1" applyBorder="1" applyAlignment="1" applyProtection="1">
      <alignment horizontal="left"/>
      <protection locked="0"/>
    </xf>
    <xf numFmtId="0" fontId="16" fillId="0" borderId="21" xfId="0" applyFont="1" applyBorder="1" applyAlignment="1" applyProtection="1">
      <alignment horizontal="left"/>
      <protection locked="0"/>
    </xf>
    <xf numFmtId="0" fontId="16" fillId="0" borderId="23" xfId="0" applyFont="1" applyBorder="1" applyAlignment="1" applyProtection="1">
      <alignment horizontal="left" wrapText="1"/>
      <protection locked="0"/>
    </xf>
    <xf numFmtId="0" fontId="16" fillId="0" borderId="6" xfId="0" applyFont="1" applyBorder="1" applyAlignment="1" applyProtection="1">
      <alignment horizontal="left" wrapText="1"/>
      <protection locked="0"/>
    </xf>
    <xf numFmtId="0" fontId="16" fillId="0" borderId="32" xfId="0" applyFont="1" applyBorder="1" applyAlignment="1" applyProtection="1">
      <alignment horizontal="left" wrapText="1"/>
      <protection locked="0"/>
    </xf>
    <xf numFmtId="0" fontId="24" fillId="0" borderId="55" xfId="0" applyFont="1" applyBorder="1" applyAlignment="1" applyProtection="1">
      <alignment horizontal="left" wrapText="1"/>
      <protection locked="0"/>
    </xf>
    <xf numFmtId="0" fontId="24" fillId="0" borderId="7" xfId="0" applyFont="1" applyBorder="1" applyAlignment="1" applyProtection="1">
      <alignment horizontal="left" wrapText="1"/>
      <protection locked="0"/>
    </xf>
    <xf numFmtId="0" fontId="24" fillId="0" borderId="20" xfId="0" applyFont="1" applyBorder="1" applyAlignment="1" applyProtection="1">
      <alignment horizontal="left" wrapText="1"/>
      <protection locked="0"/>
    </xf>
    <xf numFmtId="0" fontId="16" fillId="0" borderId="21" xfId="0" applyFont="1" applyBorder="1" applyAlignment="1" applyProtection="1">
      <alignment horizontal="left" wrapText="1"/>
      <protection locked="0"/>
    </xf>
    <xf numFmtId="0" fontId="16" fillId="0" borderId="7" xfId="0" applyFont="1" applyBorder="1" applyAlignment="1" applyProtection="1">
      <alignment horizontal="left" wrapText="1"/>
      <protection locked="0"/>
    </xf>
    <xf numFmtId="0" fontId="22" fillId="7" borderId="7" xfId="0" applyFont="1" applyFill="1" applyBorder="1" applyAlignment="1" applyProtection="1">
      <alignment wrapText="1"/>
      <protection locked="0"/>
    </xf>
    <xf numFmtId="49" fontId="32" fillId="3" borderId="22" xfId="0" applyNumberFormat="1" applyFont="1" applyFill="1" applyBorder="1" applyAlignment="1" applyProtection="1">
      <alignment horizontal="left" wrapText="1"/>
      <protection locked="0"/>
    </xf>
    <xf numFmtId="49" fontId="32" fillId="3" borderId="9" xfId="0" applyNumberFormat="1" applyFont="1" applyFill="1" applyBorder="1" applyAlignment="1" applyProtection="1">
      <alignment horizontal="left" wrapText="1"/>
      <protection locked="0"/>
    </xf>
    <xf numFmtId="0" fontId="22" fillId="7" borderId="6" xfId="0" applyFont="1" applyFill="1" applyBorder="1" applyAlignment="1" applyProtection="1">
      <alignment wrapText="1"/>
      <protection locked="0"/>
    </xf>
    <xf numFmtId="0" fontId="24" fillId="2" borderId="55" xfId="0" applyFont="1" applyFill="1" applyBorder="1" applyAlignment="1" applyProtection="1">
      <alignment horizontal="left" wrapText="1"/>
      <protection locked="0"/>
    </xf>
    <xf numFmtId="0" fontId="0" fillId="0" borderId="7" xfId="0" applyBorder="1" applyAlignment="1">
      <alignment horizontal="left" wrapText="1"/>
    </xf>
    <xf numFmtId="0" fontId="0" fillId="0" borderId="20" xfId="0" applyBorder="1" applyAlignment="1">
      <alignment horizontal="left" wrapText="1"/>
    </xf>
    <xf numFmtId="0" fontId="16" fillId="0" borderId="22" xfId="0" applyFont="1" applyBorder="1" applyAlignment="1" applyProtection="1">
      <alignment wrapText="1"/>
      <protection locked="0"/>
    </xf>
    <xf numFmtId="0" fontId="16" fillId="0" borderId="9" xfId="0" applyFont="1" applyBorder="1" applyAlignment="1" applyProtection="1">
      <alignment wrapText="1"/>
      <protection locked="0"/>
    </xf>
    <xf numFmtId="0" fontId="16" fillId="3" borderId="18" xfId="0" applyFont="1" applyFill="1" applyBorder="1" applyAlignment="1" applyProtection="1">
      <alignment horizontal="right" wrapText="1"/>
      <protection locked="0"/>
    </xf>
    <xf numFmtId="0" fontId="16" fillId="3" borderId="4" xfId="0" applyFont="1" applyFill="1" applyBorder="1" applyAlignment="1" applyProtection="1">
      <alignment horizontal="right" wrapText="1"/>
      <protection locked="0"/>
    </xf>
    <xf numFmtId="0" fontId="32" fillId="2" borderId="21" xfId="0" applyFont="1" applyFill="1" applyBorder="1" applyAlignment="1" applyProtection="1">
      <alignment horizontal="left"/>
      <protection locked="0"/>
    </xf>
    <xf numFmtId="0" fontId="32" fillId="2" borderId="7" xfId="0" applyFont="1" applyFill="1" applyBorder="1" applyAlignment="1" applyProtection="1">
      <alignment horizontal="left"/>
      <protection locked="0"/>
    </xf>
    <xf numFmtId="0" fontId="23" fillId="7" borderId="0" xfId="0" applyFont="1" applyFill="1" applyAlignment="1" applyProtection="1">
      <alignment vertical="top" wrapText="1"/>
      <protection locked="0"/>
    </xf>
    <xf numFmtId="0" fontId="16" fillId="3" borderId="31" xfId="0" applyFont="1" applyFill="1" applyBorder="1" applyAlignment="1" applyProtection="1">
      <alignment horizontal="left" wrapText="1"/>
      <protection locked="0"/>
    </xf>
    <xf numFmtId="0" fontId="16" fillId="3" borderId="11" xfId="0" applyFont="1" applyFill="1" applyBorder="1" applyAlignment="1" applyProtection="1">
      <alignment horizontal="left" wrapText="1"/>
      <protection locked="0"/>
    </xf>
    <xf numFmtId="0" fontId="16" fillId="0" borderId="14" xfId="0" applyFont="1" applyBorder="1" applyAlignment="1" applyProtection="1">
      <alignment horizontal="left" wrapText="1"/>
      <protection locked="0"/>
    </xf>
    <xf numFmtId="0" fontId="16" fillId="0" borderId="15" xfId="0" applyFont="1" applyBorder="1" applyAlignment="1" applyProtection="1">
      <alignment horizontal="left" wrapText="1"/>
      <protection locked="0"/>
    </xf>
    <xf numFmtId="0" fontId="16" fillId="0" borderId="22" xfId="0" applyFont="1" applyBorder="1" applyAlignment="1" applyProtection="1">
      <alignment horizontal="left" wrapText="1"/>
      <protection locked="0"/>
    </xf>
    <xf numFmtId="0" fontId="16" fillId="0" borderId="9" xfId="0" applyFont="1" applyBorder="1" applyAlignment="1" applyProtection="1">
      <alignment horizontal="left" wrapText="1"/>
      <protection locked="0"/>
    </xf>
    <xf numFmtId="0" fontId="16" fillId="2" borderId="0" xfId="0" applyFont="1" applyFill="1" applyAlignment="1">
      <alignment horizontal="left" vertical="top" wrapText="1"/>
    </xf>
    <xf numFmtId="0" fontId="16" fillId="2" borderId="48" xfId="0" applyFont="1" applyFill="1" applyBorder="1" applyAlignment="1">
      <alignment horizontal="left" vertical="top" wrapText="1"/>
    </xf>
    <xf numFmtId="0" fontId="16" fillId="2" borderId="53" xfId="0" applyFont="1" applyFill="1" applyBorder="1" applyAlignment="1">
      <alignment horizontal="left" vertical="top" wrapText="1"/>
    </xf>
    <xf numFmtId="0" fontId="16" fillId="2" borderId="32" xfId="0" applyFont="1" applyFill="1" applyBorder="1" applyAlignment="1">
      <alignment horizontal="left" vertical="top" wrapText="1"/>
    </xf>
    <xf numFmtId="0" fontId="16" fillId="0" borderId="18" xfId="0" applyFont="1" applyBorder="1" applyAlignment="1">
      <alignment vertical="top" wrapText="1"/>
    </xf>
    <xf numFmtId="0" fontId="16" fillId="0" borderId="19" xfId="0" applyFont="1" applyBorder="1" applyAlignment="1">
      <alignment vertical="top" wrapText="1"/>
    </xf>
    <xf numFmtId="0" fontId="16" fillId="0" borderId="2" xfId="0" applyFont="1" applyBorder="1" applyAlignment="1">
      <alignment vertical="top" wrapText="1"/>
    </xf>
    <xf numFmtId="0" fontId="16" fillId="0" borderId="54" xfId="0" applyFont="1" applyBorder="1" applyAlignment="1" applyProtection="1">
      <alignment horizontal="left" wrapText="1"/>
      <protection locked="0"/>
    </xf>
    <xf numFmtId="0" fontId="16" fillId="0" borderId="20" xfId="0" applyFont="1" applyBorder="1" applyAlignment="1" applyProtection="1">
      <alignment horizontal="left" wrapText="1"/>
      <protection locked="0"/>
    </xf>
    <xf numFmtId="0" fontId="16" fillId="2" borderId="18" xfId="0" applyFont="1" applyFill="1" applyBorder="1" applyAlignment="1">
      <alignment horizontal="left" vertical="top" wrapText="1"/>
    </xf>
    <xf numFmtId="0" fontId="16" fillId="2" borderId="19"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15" xfId="0" applyFont="1" applyFill="1" applyBorder="1" applyAlignment="1" applyProtection="1">
      <alignment horizontal="left"/>
      <protection locked="0"/>
    </xf>
    <xf numFmtId="0" fontId="16" fillId="2" borderId="7" xfId="0" applyFont="1" applyFill="1" applyBorder="1" applyAlignment="1" applyProtection="1">
      <alignment horizontal="left"/>
      <protection locked="0"/>
    </xf>
    <xf numFmtId="0" fontId="16" fillId="2" borderId="9" xfId="0" applyFont="1" applyFill="1" applyBorder="1" applyAlignment="1" applyProtection="1">
      <alignment horizontal="left"/>
      <protection locked="0"/>
    </xf>
    <xf numFmtId="0" fontId="24" fillId="2" borderId="61" xfId="0" applyFont="1" applyFill="1" applyBorder="1" applyAlignment="1" applyProtection="1">
      <alignment vertical="center" wrapText="1"/>
      <protection locked="0"/>
    </xf>
    <xf numFmtId="0" fontId="24" fillId="2" borderId="57" xfId="0" applyFont="1" applyFill="1" applyBorder="1" applyAlignment="1" applyProtection="1">
      <alignment vertical="center" wrapText="1"/>
      <protection locked="0"/>
    </xf>
    <xf numFmtId="0" fontId="24" fillId="2" borderId="10" xfId="0" applyFont="1" applyFill="1" applyBorder="1" applyAlignment="1" applyProtection="1">
      <alignment vertical="center" wrapText="1"/>
      <protection locked="0"/>
    </xf>
    <xf numFmtId="0" fontId="24" fillId="2" borderId="0" xfId="0" applyFont="1" applyFill="1" applyAlignment="1" applyProtection="1">
      <alignment horizontal="left" wrapText="1"/>
      <protection locked="0"/>
    </xf>
    <xf numFmtId="0" fontId="21" fillId="2" borderId="0" xfId="0" applyFont="1" applyFill="1" applyAlignment="1" applyProtection="1">
      <alignment horizontal="left" wrapText="1"/>
      <protection locked="0"/>
    </xf>
    <xf numFmtId="0" fontId="22" fillId="7" borderId="6" xfId="0" applyFont="1" applyFill="1" applyBorder="1" applyAlignment="1" applyProtection="1">
      <alignment horizontal="left" wrapText="1"/>
      <protection locked="0"/>
    </xf>
    <xf numFmtId="0" fontId="22" fillId="7" borderId="6" xfId="0" applyFont="1" applyFill="1" applyBorder="1" applyAlignment="1" applyProtection="1">
      <alignment horizontal="left"/>
      <protection locked="0"/>
    </xf>
    <xf numFmtId="49" fontId="17" fillId="3" borderId="42" xfId="0" applyNumberFormat="1" applyFont="1" applyFill="1" applyBorder="1" applyAlignment="1" applyProtection="1">
      <alignment horizontal="left" wrapText="1"/>
      <protection locked="0"/>
    </xf>
    <xf numFmtId="49" fontId="17" fillId="3" borderId="37" xfId="0" applyNumberFormat="1" applyFont="1" applyFill="1" applyBorder="1" applyAlignment="1" applyProtection="1">
      <alignment horizontal="left" wrapText="1"/>
      <protection locked="0"/>
    </xf>
    <xf numFmtId="49" fontId="16" fillId="3" borderId="49" xfId="0" applyNumberFormat="1" applyFont="1" applyFill="1" applyBorder="1" applyAlignment="1" applyProtection="1">
      <alignment horizontal="left" wrapText="1"/>
      <protection locked="0"/>
    </xf>
    <xf numFmtId="49" fontId="16" fillId="3" borderId="36" xfId="0" applyNumberFormat="1" applyFont="1" applyFill="1" applyBorder="1" applyAlignment="1" applyProtection="1">
      <alignment horizontal="left" wrapText="1"/>
      <protection locked="0"/>
    </xf>
    <xf numFmtId="49" fontId="16" fillId="3" borderId="17" xfId="0" applyNumberFormat="1" applyFont="1" applyFill="1" applyBorder="1" applyAlignment="1" applyProtection="1">
      <alignment wrapText="1"/>
      <protection locked="0"/>
    </xf>
    <xf numFmtId="49" fontId="16" fillId="3" borderId="48" xfId="0" applyNumberFormat="1" applyFont="1" applyFill="1" applyBorder="1" applyAlignment="1" applyProtection="1">
      <alignment wrapText="1"/>
      <protection locked="0"/>
    </xf>
    <xf numFmtId="49" fontId="16" fillId="3" borderId="18" xfId="0" applyNumberFormat="1" applyFont="1" applyFill="1" applyBorder="1" applyAlignment="1" applyProtection="1">
      <alignment horizontal="left" wrapText="1"/>
      <protection locked="0"/>
    </xf>
    <xf numFmtId="49" fontId="16" fillId="3" borderId="4" xfId="0" applyNumberFormat="1" applyFont="1" applyFill="1" applyBorder="1" applyAlignment="1" applyProtection="1">
      <alignment horizontal="left" wrapText="1"/>
      <protection locked="0"/>
    </xf>
    <xf numFmtId="49" fontId="16" fillId="3" borderId="33" xfId="0" applyNumberFormat="1" applyFont="1" applyFill="1" applyBorder="1" applyAlignment="1" applyProtection="1">
      <alignment horizontal="left" wrapText="1"/>
      <protection locked="0"/>
    </xf>
    <xf numFmtId="49" fontId="16" fillId="3" borderId="17" xfId="0" applyNumberFormat="1" applyFont="1" applyFill="1" applyBorder="1" applyAlignment="1" applyProtection="1">
      <alignment horizontal="left" wrapText="1"/>
      <protection locked="0"/>
    </xf>
    <xf numFmtId="49" fontId="16" fillId="3" borderId="48" xfId="0" applyNumberFormat="1" applyFont="1" applyFill="1" applyBorder="1" applyAlignment="1" applyProtection="1">
      <alignment horizontal="left" wrapText="1"/>
      <protection locked="0"/>
    </xf>
    <xf numFmtId="49" fontId="16" fillId="3" borderId="13" xfId="0" applyNumberFormat="1" applyFont="1" applyFill="1" applyBorder="1" applyAlignment="1" applyProtection="1">
      <alignment horizontal="left" wrapText="1"/>
      <protection locked="0"/>
    </xf>
    <xf numFmtId="49" fontId="16" fillId="3" borderId="11" xfId="0" applyNumberFormat="1" applyFont="1" applyFill="1" applyBorder="1" applyAlignment="1" applyProtection="1">
      <alignment horizontal="left" wrapText="1"/>
      <protection locked="0"/>
    </xf>
    <xf numFmtId="49" fontId="16" fillId="3" borderId="50" xfId="0" applyNumberFormat="1" applyFont="1" applyFill="1" applyBorder="1" applyAlignment="1" applyProtection="1">
      <alignment horizontal="left" wrapText="1"/>
      <protection locked="0"/>
    </xf>
    <xf numFmtId="0" fontId="24" fillId="2" borderId="53" xfId="0" applyFont="1" applyFill="1" applyBorder="1" applyAlignment="1" applyProtection="1">
      <alignment horizontal="left" wrapText="1"/>
      <protection locked="0"/>
    </xf>
    <xf numFmtId="0" fontId="16" fillId="3" borderId="18" xfId="0" applyFont="1" applyFill="1" applyBorder="1" applyAlignment="1" applyProtection="1">
      <alignment horizontal="left" wrapText="1"/>
      <protection locked="0"/>
    </xf>
    <xf numFmtId="0" fontId="16" fillId="3" borderId="4" xfId="0" applyFont="1" applyFill="1" applyBorder="1" applyAlignment="1" applyProtection="1">
      <alignment horizontal="left" wrapText="1"/>
      <protection locked="0"/>
    </xf>
    <xf numFmtId="0" fontId="24" fillId="2" borderId="0" xfId="0" applyFont="1" applyFill="1" applyAlignment="1" applyProtection="1">
      <alignment horizontal="left" vertical="center" wrapText="1"/>
      <protection locked="0"/>
    </xf>
    <xf numFmtId="0" fontId="0" fillId="0" borderId="0" xfId="0" applyAlignment="1">
      <alignment vertical="center"/>
    </xf>
    <xf numFmtId="0" fontId="0" fillId="0" borderId="53" xfId="0" applyBorder="1" applyAlignment="1">
      <alignment vertical="center"/>
    </xf>
    <xf numFmtId="0" fontId="50" fillId="7" borderId="0" xfId="0" applyFont="1" applyFill="1" applyAlignment="1" applyProtection="1">
      <alignment wrapText="1"/>
      <protection locked="0"/>
    </xf>
    <xf numFmtId="0" fontId="24" fillId="2" borderId="21" xfId="0" applyFont="1" applyFill="1" applyBorder="1" applyAlignment="1" applyProtection="1">
      <alignment horizontal="left" vertical="top" wrapText="1"/>
      <protection locked="0"/>
    </xf>
    <xf numFmtId="0" fontId="24" fillId="2" borderId="7" xfId="0" applyFont="1" applyFill="1" applyBorder="1" applyAlignment="1" applyProtection="1">
      <alignment horizontal="left" vertical="top" wrapText="1"/>
      <protection locked="0"/>
    </xf>
    <xf numFmtId="0" fontId="24" fillId="2" borderId="20" xfId="0" applyFont="1" applyFill="1" applyBorder="1" applyAlignment="1" applyProtection="1">
      <alignment horizontal="left" vertical="top" wrapText="1"/>
      <protection locked="0"/>
    </xf>
    <xf numFmtId="0" fontId="24" fillId="2" borderId="21" xfId="0" applyFont="1" applyFill="1" applyBorder="1" applyAlignment="1" applyProtection="1">
      <alignment vertical="center" wrapText="1"/>
      <protection locked="0"/>
    </xf>
    <xf numFmtId="0" fontId="24" fillId="2" borderId="7" xfId="0" applyFont="1" applyFill="1" applyBorder="1" applyAlignment="1" applyProtection="1">
      <alignment vertical="center" wrapText="1"/>
      <protection locked="0"/>
    </xf>
    <xf numFmtId="0" fontId="24" fillId="2" borderId="20" xfId="0" applyFont="1" applyFill="1" applyBorder="1" applyAlignment="1" applyProtection="1">
      <alignment vertical="center" wrapText="1"/>
      <protection locked="0"/>
    </xf>
    <xf numFmtId="49" fontId="32" fillId="2" borderId="14" xfId="0" applyNumberFormat="1" applyFont="1" applyFill="1" applyBorder="1" applyAlignment="1" applyProtection="1">
      <alignment horizontal="left"/>
      <protection locked="0"/>
    </xf>
    <xf numFmtId="49" fontId="32" fillId="2" borderId="15" xfId="0" applyNumberFormat="1" applyFont="1" applyFill="1" applyBorder="1" applyAlignment="1" applyProtection="1">
      <alignment horizontal="left"/>
      <protection locked="0"/>
    </xf>
    <xf numFmtId="49" fontId="32" fillId="2" borderId="54" xfId="0" applyNumberFormat="1" applyFont="1" applyFill="1" applyBorder="1" applyAlignment="1" applyProtection="1">
      <alignment horizontal="left"/>
      <protection locked="0"/>
    </xf>
    <xf numFmtId="0" fontId="16" fillId="2" borderId="21" xfId="0" applyFont="1" applyFill="1" applyBorder="1" applyAlignment="1" applyProtection="1">
      <alignment horizontal="left" wrapText="1"/>
      <protection locked="0"/>
    </xf>
    <xf numFmtId="0" fontId="16" fillId="2" borderId="20" xfId="0" applyFont="1" applyFill="1" applyBorder="1" applyAlignment="1" applyProtection="1">
      <alignment horizontal="left" wrapText="1"/>
      <protection locked="0"/>
    </xf>
    <xf numFmtId="0" fontId="24" fillId="2" borderId="62" xfId="0" applyFont="1" applyFill="1" applyBorder="1" applyAlignment="1" applyProtection="1">
      <alignment horizontal="left" vertical="top" wrapText="1"/>
      <protection locked="0"/>
    </xf>
    <xf numFmtId="0" fontId="24" fillId="2" borderId="57" xfId="0" applyFont="1" applyFill="1" applyBorder="1" applyAlignment="1" applyProtection="1">
      <alignment horizontal="left" vertical="top" wrapText="1"/>
      <protection locked="0"/>
    </xf>
    <xf numFmtId="0" fontId="24" fillId="2" borderId="10" xfId="0" applyFont="1" applyFill="1" applyBorder="1" applyAlignment="1" applyProtection="1">
      <alignment horizontal="left" vertical="top" wrapText="1"/>
      <protection locked="0"/>
    </xf>
    <xf numFmtId="0" fontId="16" fillId="2" borderId="15" xfId="0" applyFont="1" applyFill="1" applyBorder="1" applyAlignment="1" applyProtection="1">
      <alignment horizontal="left" vertical="center" wrapText="1"/>
      <protection locked="0"/>
    </xf>
    <xf numFmtId="0" fontId="16" fillId="2" borderId="7" xfId="0" applyFont="1" applyFill="1" applyBorder="1" applyAlignment="1" applyProtection="1">
      <alignment horizontal="left" vertical="center" wrapText="1" indent="1"/>
      <protection locked="0"/>
    </xf>
    <xf numFmtId="0" fontId="22" fillId="7" borderId="0" xfId="0" applyFont="1" applyFill="1" applyAlignment="1" applyProtection="1">
      <alignment horizontal="left" wrapText="1"/>
      <protection locked="0"/>
    </xf>
    <xf numFmtId="0" fontId="16" fillId="3" borderId="45" xfId="0" applyFont="1" applyFill="1" applyBorder="1" applyAlignment="1" applyProtection="1">
      <alignment wrapText="1"/>
      <protection locked="0"/>
    </xf>
    <xf numFmtId="0" fontId="16" fillId="3" borderId="30" xfId="0" applyFont="1" applyFill="1" applyBorder="1" applyAlignment="1" applyProtection="1">
      <alignment wrapText="1"/>
      <protection locked="0"/>
    </xf>
    <xf numFmtId="0" fontId="22" fillId="7" borderId="11" xfId="0" applyFont="1" applyFill="1" applyBorder="1" applyAlignment="1" applyProtection="1">
      <alignment horizontal="left" wrapText="1"/>
      <protection locked="0"/>
    </xf>
    <xf numFmtId="0" fontId="24" fillId="3" borderId="21" xfId="0" applyFont="1" applyFill="1" applyBorder="1" applyAlignment="1" applyProtection="1">
      <alignment wrapText="1"/>
      <protection locked="0"/>
    </xf>
    <xf numFmtId="0" fontId="24" fillId="3" borderId="7" xfId="0" applyFont="1" applyFill="1" applyBorder="1" applyAlignment="1" applyProtection="1">
      <alignment wrapText="1"/>
      <protection locked="0"/>
    </xf>
    <xf numFmtId="0" fontId="24" fillId="3" borderId="20" xfId="0" applyFont="1" applyFill="1" applyBorder="1" applyAlignment="1" applyProtection="1">
      <alignment wrapText="1"/>
      <protection locked="0"/>
    </xf>
    <xf numFmtId="0" fontId="16" fillId="0" borderId="0" xfId="0" applyFont="1" applyAlignment="1">
      <alignment horizontal="left" wrapText="1"/>
    </xf>
    <xf numFmtId="0" fontId="16" fillId="0" borderId="6" xfId="0" applyFont="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left" vertical="top" wrapText="1"/>
    </xf>
    <xf numFmtId="0" fontId="10" fillId="0" borderId="0" xfId="0" applyFont="1" applyAlignment="1">
      <alignment wrapText="1"/>
    </xf>
    <xf numFmtId="0" fontId="17" fillId="3" borderId="21" xfId="0" applyFont="1" applyFill="1" applyBorder="1" applyAlignment="1">
      <alignment horizontal="left"/>
    </xf>
    <xf numFmtId="0" fontId="17" fillId="3" borderId="7" xfId="0" applyFont="1" applyFill="1" applyBorder="1" applyAlignment="1">
      <alignment horizontal="left"/>
    </xf>
    <xf numFmtId="0" fontId="17" fillId="3" borderId="20" xfId="0" applyFont="1" applyFill="1" applyBorder="1" applyAlignment="1">
      <alignment horizontal="left"/>
    </xf>
    <xf numFmtId="0" fontId="23" fillId="7" borderId="6" xfId="0" applyFont="1" applyFill="1" applyBorder="1" applyAlignment="1">
      <alignment horizontal="center"/>
    </xf>
    <xf numFmtId="0" fontId="17" fillId="3" borderId="1" xfId="0" applyFont="1" applyFill="1" applyBorder="1" applyAlignment="1">
      <alignment horizontal="left"/>
    </xf>
    <xf numFmtId="0" fontId="23" fillId="7" borderId="0" xfId="0" applyFont="1" applyFill="1" applyAlignment="1">
      <alignment horizontal="center"/>
    </xf>
    <xf numFmtId="0" fontId="22" fillId="7" borderId="7" xfId="0" applyFont="1" applyFill="1" applyBorder="1" applyAlignment="1" applyProtection="1">
      <protection locked="0"/>
    </xf>
    <xf numFmtId="0" fontId="17" fillId="2" borderId="11" xfId="0" applyFont="1" applyFill="1" applyBorder="1" applyAlignment="1" applyProtection="1">
      <protection locked="0"/>
    </xf>
    <xf numFmtId="0" fontId="10" fillId="0" borderId="0" xfId="0" applyFont="1" applyAlignment="1"/>
  </cellXfs>
  <cellStyles count="33">
    <cellStyle name="Followed Hyperlink" xfId="14" builtinId="9" hidden="1"/>
    <cellStyle name="Followed Hyperlink" xfId="15" builtinId="9" hidden="1"/>
    <cellStyle name="Followed Hyperlink" xfId="16" builtinId="9" hidden="1"/>
    <cellStyle name="Followed Hyperlink" xfId="18" builtinId="9" hidden="1"/>
    <cellStyle name="Followed Hyperlink" xfId="19" builtinId="9" hidden="1"/>
    <cellStyle name="Followed Hyperlink" xfId="20" builtinId="9" hidden="1"/>
    <cellStyle name="Followed Hyperlink" xfId="22" builtinId="9" hidden="1"/>
    <cellStyle name="Followed Hyperlink" xfId="23" builtinId="9" hidden="1"/>
    <cellStyle name="Followed Hyperlink" xfId="24" builtinId="9" hidden="1"/>
    <cellStyle name="Followed Hyperlink" xfId="26" builtinId="9" hidden="1"/>
    <cellStyle name="Followed Hyperlink" xfId="27" builtinId="9" hidden="1"/>
    <cellStyle name="Followed Hyperlink" xfId="28" builtinId="9" hidden="1"/>
    <cellStyle name="Followed Hyperlink" xfId="30" builtinId="9" hidden="1"/>
    <cellStyle name="Followed Hyperlink" xfId="31" builtinId="9" hidden="1"/>
    <cellStyle name="Followed Hyperlink" xfId="32" builtinId="9" hidden="1"/>
    <cellStyle name="Followed Hyperlink" xfId="29" builtinId="9" hidden="1"/>
    <cellStyle name="Followed Hyperlink" xfId="25" builtinId="9" hidden="1"/>
    <cellStyle name="Followed Hyperlink" xfId="21" builtinId="9" hidden="1"/>
    <cellStyle name="Followed Hyperlink" xfId="17" builtinId="9" hidden="1"/>
    <cellStyle name="Followed Hyperlink" xfId="13" builtinId="9" hidden="1"/>
    <cellStyle name="Followed Hyperlink" xfId="7" builtinId="9" hidden="1"/>
    <cellStyle name="Followed Hyperlink" xfId="8" builtinId="9" hidden="1"/>
    <cellStyle name="Followed Hyperlink" xfId="10" builtinId="9" hidden="1"/>
    <cellStyle name="Followed Hyperlink" xfId="11" builtinId="9" hidden="1"/>
    <cellStyle name="Followed Hyperlink" xfId="12" builtinId="9" hidden="1"/>
    <cellStyle name="Followed Hyperlink" xfId="9" builtinId="9" hidden="1"/>
    <cellStyle name="Followed Hyperlink" xfId="5" builtinId="9" hidden="1"/>
    <cellStyle name="Followed Hyperlink" xfId="6" builtinId="9" hidden="1"/>
    <cellStyle name="Followed Hyperlink" xfId="4" builtinId="9" hidden="1"/>
    <cellStyle name="Followed Hyperlink" xfId="3" builtinId="9" hidden="1"/>
    <cellStyle name="Hyperlink" xfId="1" builtinId="8"/>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8B00"/>
      <color rgb="FF4B4B4B"/>
      <color rgb="FF0F0080"/>
      <color rgb="FF00C16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epa.gov/egrid/map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4AE7-9995-2149-87AD-8786BDB93B53}">
  <sheetPr codeName="Sheet1">
    <pageSetUpPr fitToPage="1"/>
  </sheetPr>
  <dimension ref="A1:Q138"/>
  <sheetViews>
    <sheetView tabSelected="1" zoomScaleNormal="100" zoomScalePageLayoutView="125" workbookViewId="0"/>
  </sheetViews>
  <sheetFormatPr defaultColWidth="8.85546875" defaultRowHeight="15" outlineLevelRow="1"/>
  <cols>
    <col min="1" max="1" width="58" style="276" customWidth="1"/>
    <col min="2" max="2" width="16.140625" style="143" customWidth="1"/>
    <col min="3" max="3" width="13.28515625" style="143" customWidth="1"/>
    <col min="4" max="4" width="14.85546875" style="143" customWidth="1"/>
    <col min="5" max="5" width="14.28515625" style="143" customWidth="1"/>
    <col min="6" max="6" width="15.28515625" style="143" customWidth="1"/>
    <col min="7" max="7" width="13.28515625" style="143" customWidth="1"/>
    <col min="8" max="8" width="17.85546875" style="143" customWidth="1"/>
    <col min="9" max="9" width="13.140625" style="143" customWidth="1"/>
    <col min="10" max="10" width="12.85546875" style="143" customWidth="1"/>
    <col min="11" max="11" width="16.28515625" style="143" customWidth="1"/>
    <col min="12" max="12" width="57.42578125" style="143" customWidth="1"/>
    <col min="13" max="13" width="30" style="143" customWidth="1"/>
    <col min="14" max="16384" width="8.85546875" style="143"/>
  </cols>
  <sheetData>
    <row r="1" spans="1:13" ht="26.1" customHeight="1">
      <c r="A1" s="439" t="s">
        <v>0</v>
      </c>
      <c r="B1" s="140"/>
      <c r="C1" s="140"/>
      <c r="D1" s="140"/>
      <c r="E1" s="140"/>
      <c r="F1" s="140"/>
      <c r="G1" s="140"/>
      <c r="H1" s="140"/>
      <c r="I1" s="140"/>
      <c r="J1" s="140"/>
      <c r="K1" s="140"/>
      <c r="L1" s="141"/>
      <c r="M1" s="142" t="s">
        <v>1</v>
      </c>
    </row>
    <row r="2" spans="1:13" s="145" customFormat="1" ht="129" customHeight="1" outlineLevel="1">
      <c r="A2" s="461" t="s">
        <v>2</v>
      </c>
      <c r="B2" s="461"/>
      <c r="C2" s="461"/>
      <c r="D2" s="461"/>
      <c r="E2" s="461"/>
      <c r="F2" s="461"/>
      <c r="G2" s="461"/>
      <c r="H2" s="461"/>
      <c r="I2" s="461"/>
      <c r="J2" s="461"/>
      <c r="K2" s="462"/>
      <c r="L2" s="144"/>
      <c r="M2" s="144"/>
    </row>
    <row r="3" spans="1:13" s="145" customFormat="1" ht="23.1" customHeight="1" outlineLevel="1">
      <c r="A3" s="463" t="s">
        <v>3</v>
      </c>
      <c r="B3" s="463"/>
      <c r="C3" s="463"/>
      <c r="D3" s="463"/>
      <c r="E3" s="463"/>
      <c r="F3" s="463"/>
      <c r="G3" s="463"/>
      <c r="H3" s="463"/>
      <c r="I3" s="463"/>
      <c r="J3" s="463"/>
      <c r="K3" s="464"/>
      <c r="L3" s="144"/>
      <c r="M3" s="144"/>
    </row>
    <row r="4" spans="1:13" s="145" customFormat="1" ht="27" customHeight="1" outlineLevel="1">
      <c r="A4" s="146" t="s">
        <v>4</v>
      </c>
      <c r="B4" s="147"/>
      <c r="C4" s="147"/>
      <c r="D4" s="147"/>
      <c r="E4" s="144"/>
      <c r="F4" s="144"/>
      <c r="G4" s="144"/>
      <c r="H4" s="144"/>
      <c r="I4" s="144"/>
      <c r="J4" s="144"/>
      <c r="K4" s="148"/>
      <c r="L4" s="144"/>
      <c r="M4" s="144"/>
    </row>
    <row r="5" spans="1:13" s="145" customFormat="1" ht="21.95" customHeight="1" outlineLevel="1">
      <c r="A5" s="436" t="s">
        <v>5</v>
      </c>
      <c r="B5" s="465"/>
      <c r="C5" s="465"/>
      <c r="D5" s="465"/>
      <c r="E5" s="144"/>
      <c r="F5" s="144"/>
      <c r="G5" s="144"/>
      <c r="H5" s="144"/>
      <c r="I5" s="144"/>
      <c r="J5" s="144"/>
      <c r="K5" s="148"/>
      <c r="L5" s="144"/>
      <c r="M5" s="144"/>
    </row>
    <row r="6" spans="1:13" s="145" customFormat="1" ht="21.95" customHeight="1" outlineLevel="1">
      <c r="A6" s="436" t="s">
        <v>6</v>
      </c>
      <c r="B6" s="441"/>
      <c r="C6" s="441"/>
      <c r="D6" s="441"/>
      <c r="E6" s="144"/>
      <c r="F6" s="144"/>
      <c r="G6" s="144"/>
      <c r="H6" s="144"/>
      <c r="I6" s="144"/>
      <c r="J6" s="144"/>
      <c r="K6" s="148"/>
      <c r="L6" s="144"/>
      <c r="M6" s="144"/>
    </row>
    <row r="7" spans="1:13" s="145" customFormat="1" ht="21.95" customHeight="1" outlineLevel="1">
      <c r="A7" s="436" t="s">
        <v>7</v>
      </c>
      <c r="B7" s="466"/>
      <c r="C7" s="466"/>
      <c r="D7" s="466"/>
      <c r="E7" s="144"/>
      <c r="F7" s="144"/>
      <c r="G7" s="151"/>
      <c r="H7" s="144"/>
      <c r="I7" s="144"/>
      <c r="J7" s="144"/>
      <c r="K7" s="148"/>
      <c r="L7" s="144"/>
      <c r="M7" s="144"/>
    </row>
    <row r="8" spans="1:13" s="145" customFormat="1" ht="21.95" customHeight="1" outlineLevel="1">
      <c r="A8" s="436" t="s">
        <v>8</v>
      </c>
      <c r="B8" s="460"/>
      <c r="C8" s="460"/>
      <c r="D8" s="460"/>
      <c r="E8" s="144"/>
      <c r="F8" s="144"/>
      <c r="G8" s="459"/>
      <c r="H8" s="459"/>
      <c r="I8" s="144"/>
      <c r="J8" s="144"/>
      <c r="K8" s="148"/>
      <c r="L8" s="144"/>
      <c r="M8" s="144"/>
    </row>
    <row r="9" spans="1:13" s="145" customFormat="1" ht="21.95" customHeight="1" outlineLevel="1">
      <c r="A9" s="149" t="s">
        <v>9</v>
      </c>
      <c r="B9" s="475" t="s">
        <v>10</v>
      </c>
      <c r="C9" s="475"/>
      <c r="D9" s="475"/>
      <c r="E9" s="535" t="s">
        <v>11</v>
      </c>
      <c r="F9" s="535"/>
      <c r="G9" s="535"/>
      <c r="H9" s="535"/>
      <c r="I9" s="535"/>
      <c r="J9" s="535"/>
      <c r="K9" s="553"/>
      <c r="L9" s="144"/>
      <c r="M9" s="144"/>
    </row>
    <row r="10" spans="1:13" s="145" customFormat="1" ht="41.1" customHeight="1" outlineLevel="1">
      <c r="A10" s="149" t="s">
        <v>12</v>
      </c>
      <c r="B10" s="530" t="s">
        <v>13</v>
      </c>
      <c r="C10" s="530"/>
      <c r="D10" s="530"/>
      <c r="E10" s="535"/>
      <c r="F10" s="535"/>
      <c r="G10" s="535"/>
      <c r="H10" s="535"/>
      <c r="I10" s="535"/>
      <c r="J10" s="535"/>
      <c r="K10" s="553"/>
      <c r="L10" s="144"/>
      <c r="M10" s="144"/>
    </row>
    <row r="11" spans="1:13" s="145" customFormat="1" ht="21.95" customHeight="1" outlineLevel="1">
      <c r="A11" s="436" t="s">
        <v>14</v>
      </c>
      <c r="B11" s="476"/>
      <c r="C11" s="476"/>
      <c r="D11" s="476"/>
      <c r="E11" s="144"/>
      <c r="F11" s="144"/>
      <c r="G11" s="446"/>
      <c r="H11" s="144"/>
      <c r="I11" s="144"/>
      <c r="J11" s="446"/>
      <c r="K11" s="148"/>
      <c r="L11" s="144"/>
      <c r="M11" s="144"/>
    </row>
    <row r="12" spans="1:13" s="145" customFormat="1" ht="69.75" customHeight="1">
      <c r="A12" s="535" t="s">
        <v>15</v>
      </c>
      <c r="B12" s="536"/>
      <c r="C12" s="536"/>
      <c r="D12" s="536"/>
      <c r="E12" s="536"/>
      <c r="F12" s="536"/>
      <c r="G12" s="536"/>
      <c r="H12" s="152" t="s">
        <v>16</v>
      </c>
      <c r="I12" s="152" t="s">
        <v>17</v>
      </c>
      <c r="J12" s="152" t="s">
        <v>18</v>
      </c>
      <c r="K12" s="153" t="s">
        <v>19</v>
      </c>
      <c r="L12" s="144"/>
      <c r="M12" s="154" t="s">
        <v>20</v>
      </c>
    </row>
    <row r="13" spans="1:13" s="145" customFormat="1" ht="42" customHeight="1" outlineLevel="1">
      <c r="A13" s="537" t="s">
        <v>21</v>
      </c>
      <c r="B13" s="538"/>
      <c r="C13" s="538"/>
      <c r="D13" s="538"/>
      <c r="E13" s="538"/>
      <c r="F13" s="538"/>
      <c r="G13" s="538"/>
      <c r="H13" s="538"/>
      <c r="I13" s="538"/>
      <c r="J13" s="538"/>
      <c r="K13" s="538"/>
      <c r="L13" s="311" t="s">
        <v>22</v>
      </c>
      <c r="M13" s="312" t="s">
        <v>23</v>
      </c>
    </row>
    <row r="14" spans="1:13" s="145" customFormat="1" ht="30" customHeight="1" outlineLevel="1">
      <c r="A14" s="539" t="s">
        <v>24</v>
      </c>
      <c r="B14" s="541" t="s">
        <v>25</v>
      </c>
      <c r="C14" s="545" t="s">
        <v>26</v>
      </c>
      <c r="D14" s="477" t="s">
        <v>27</v>
      </c>
      <c r="E14" s="478"/>
      <c r="F14" s="545" t="s">
        <v>28</v>
      </c>
      <c r="G14" s="545" t="s">
        <v>29</v>
      </c>
      <c r="H14" s="554" t="s">
        <v>30</v>
      </c>
      <c r="I14" s="547" t="s">
        <v>31</v>
      </c>
      <c r="J14" s="548"/>
      <c r="K14" s="549"/>
      <c r="L14" s="406"/>
      <c r="M14" s="312" t="s">
        <v>23</v>
      </c>
    </row>
    <row r="15" spans="1:13" s="145" customFormat="1" ht="54" customHeight="1" outlineLevel="1" thickBot="1">
      <c r="A15" s="540"/>
      <c r="B15" s="542"/>
      <c r="C15" s="546"/>
      <c r="D15" s="155" t="s">
        <v>32</v>
      </c>
      <c r="E15" s="442" t="s">
        <v>33</v>
      </c>
      <c r="F15" s="546"/>
      <c r="G15" s="546"/>
      <c r="H15" s="555"/>
      <c r="I15" s="550"/>
      <c r="J15" s="551"/>
      <c r="K15" s="552"/>
      <c r="L15" s="406"/>
      <c r="M15" s="312" t="s">
        <v>23</v>
      </c>
    </row>
    <row r="16" spans="1:13" s="145" customFormat="1" ht="117" customHeight="1" outlineLevel="1">
      <c r="A16" s="156" t="s">
        <v>34</v>
      </c>
      <c r="B16" s="98"/>
      <c r="C16" s="28" t="s">
        <v>35</v>
      </c>
      <c r="D16" s="101"/>
      <c r="E16" s="283">
        <f>B16*D16</f>
        <v>0</v>
      </c>
      <c r="F16" s="104"/>
      <c r="G16" s="106">
        <f>E16*F16</f>
        <v>0</v>
      </c>
      <c r="H16" s="3"/>
      <c r="I16" s="513"/>
      <c r="J16" s="514"/>
      <c r="K16" s="524"/>
      <c r="L16" s="518" t="s">
        <v>36</v>
      </c>
      <c r="M16" s="312" t="s">
        <v>23</v>
      </c>
    </row>
    <row r="17" spans="1:17" s="145" customFormat="1" ht="33.950000000000003" customHeight="1" outlineLevel="1">
      <c r="A17" s="440" t="s">
        <v>37</v>
      </c>
      <c r="B17" s="99"/>
      <c r="C17" s="28" t="s">
        <v>35</v>
      </c>
      <c r="D17" s="102"/>
      <c r="E17" s="284">
        <f>B17*(D17)</f>
        <v>0</v>
      </c>
      <c r="F17" s="105"/>
      <c r="G17" s="107">
        <f>E17*F17</f>
        <v>0</v>
      </c>
      <c r="H17" s="4"/>
      <c r="I17" s="495"/>
      <c r="J17" s="496"/>
      <c r="K17" s="525"/>
      <c r="L17" s="519"/>
      <c r="M17" s="312" t="s">
        <v>23</v>
      </c>
    </row>
    <row r="18" spans="1:17" s="145" customFormat="1" ht="29.1" customHeight="1" outlineLevel="1">
      <c r="A18" s="440" t="s">
        <v>38</v>
      </c>
      <c r="B18" s="99"/>
      <c r="C18" s="28" t="s">
        <v>35</v>
      </c>
      <c r="D18" s="102"/>
      <c r="E18" s="284">
        <f>B18*(D18)</f>
        <v>0</v>
      </c>
      <c r="F18" s="105"/>
      <c r="G18" s="107">
        <f>E18*F18</f>
        <v>0</v>
      </c>
      <c r="H18" s="4"/>
      <c r="I18" s="495"/>
      <c r="J18" s="496"/>
      <c r="K18" s="525"/>
      <c r="L18" s="519"/>
      <c r="M18" s="312" t="s">
        <v>23</v>
      </c>
    </row>
    <row r="19" spans="1:17" s="145" customFormat="1" ht="53.1" customHeight="1" outlineLevel="1">
      <c r="A19" s="5" t="s">
        <v>39</v>
      </c>
      <c r="B19" s="100"/>
      <c r="C19" s="157" t="s">
        <v>35</v>
      </c>
      <c r="D19" s="103"/>
      <c r="E19" s="285">
        <f>B19*(D19)</f>
        <v>0</v>
      </c>
      <c r="F19" s="158"/>
      <c r="G19" s="108">
        <f>E19*F19</f>
        <v>0</v>
      </c>
      <c r="H19" s="31"/>
      <c r="I19" s="569"/>
      <c r="J19" s="460"/>
      <c r="K19" s="570"/>
      <c r="L19" s="520"/>
      <c r="M19" s="312" t="s">
        <v>23</v>
      </c>
    </row>
    <row r="20" spans="1:17" s="145" customFormat="1" ht="14.1" outlineLevel="1">
      <c r="A20" s="7" t="s">
        <v>40</v>
      </c>
      <c r="B20" s="99"/>
      <c r="C20" s="19"/>
      <c r="D20" s="102"/>
      <c r="E20" s="284"/>
      <c r="F20" s="159"/>
      <c r="G20" s="107"/>
      <c r="H20" s="8"/>
      <c r="I20" s="407"/>
      <c r="J20" s="130"/>
      <c r="K20" s="408"/>
      <c r="L20" s="317"/>
      <c r="M20" s="312" t="s">
        <v>23</v>
      </c>
    </row>
    <row r="21" spans="1:17" s="145" customFormat="1" ht="14.1" outlineLevel="1">
      <c r="A21" s="7"/>
      <c r="B21" s="99"/>
      <c r="C21" s="19"/>
      <c r="D21" s="102"/>
      <c r="E21" s="284"/>
      <c r="F21" s="159"/>
      <c r="G21" s="107"/>
      <c r="H21" s="8"/>
      <c r="I21" s="407"/>
      <c r="J21" s="130"/>
      <c r="K21" s="408"/>
      <c r="L21" s="317"/>
      <c r="M21" s="312" t="s">
        <v>23</v>
      </c>
    </row>
    <row r="22" spans="1:17" s="163" customFormat="1" ht="15.95" outlineLevel="1" thickBot="1">
      <c r="A22" s="160" t="s">
        <v>41</v>
      </c>
      <c r="B22" s="277">
        <f>SUM(B16:B21)</f>
        <v>0</v>
      </c>
      <c r="C22" s="278" t="s">
        <v>35</v>
      </c>
      <c r="D22" s="279"/>
      <c r="E22" s="280">
        <f>SUM(E16:E19)</f>
        <v>0</v>
      </c>
      <c r="F22" s="281"/>
      <c r="G22" s="282">
        <f>SUM(G16:G21)</f>
        <v>0</v>
      </c>
      <c r="H22" s="161"/>
      <c r="I22" s="409"/>
      <c r="J22" s="162"/>
      <c r="K22" s="410"/>
      <c r="L22" s="315"/>
      <c r="M22" s="312" t="s">
        <v>23</v>
      </c>
    </row>
    <row r="23" spans="1:17" s="163" customFormat="1" ht="57" customHeight="1" outlineLevel="1">
      <c r="A23" s="414" t="s">
        <v>42</v>
      </c>
      <c r="B23" s="532" t="s">
        <v>43</v>
      </c>
      <c r="C23" s="533"/>
      <c r="D23" s="533"/>
      <c r="E23" s="533"/>
      <c r="F23" s="534"/>
      <c r="G23" s="415" t="s">
        <v>44</v>
      </c>
      <c r="H23" s="411"/>
      <c r="I23" s="571"/>
      <c r="J23" s="572"/>
      <c r="K23" s="573"/>
      <c r="L23" s="412"/>
      <c r="M23" s="312" t="s">
        <v>23</v>
      </c>
    </row>
    <row r="24" spans="1:17" s="163" customFormat="1" ht="87.75" customHeight="1" outlineLevel="1">
      <c r="A24" s="368" t="s">
        <v>45</v>
      </c>
      <c r="B24" s="563" t="s">
        <v>46</v>
      </c>
      <c r="C24" s="564"/>
      <c r="D24" s="564"/>
      <c r="E24" s="564"/>
      <c r="F24" s="565"/>
      <c r="G24" s="429" t="s">
        <v>44</v>
      </c>
      <c r="H24" s="413"/>
      <c r="I24" s="560"/>
      <c r="J24" s="561"/>
      <c r="K24" s="562"/>
      <c r="L24" s="315"/>
      <c r="M24" s="312" t="s">
        <v>23</v>
      </c>
    </row>
    <row r="25" spans="1:17" s="145" customFormat="1" ht="14.1" outlineLevel="1">
      <c r="A25" s="164"/>
      <c r="B25" s="144"/>
      <c r="C25" s="144"/>
      <c r="D25" s="144"/>
      <c r="E25" s="144"/>
      <c r="F25" s="144"/>
      <c r="G25" s="144"/>
      <c r="H25" s="144"/>
      <c r="I25" s="144"/>
      <c r="J25" s="144"/>
      <c r="K25" s="144"/>
      <c r="L25" s="314"/>
      <c r="M25" s="312" t="s">
        <v>23</v>
      </c>
    </row>
    <row r="26" spans="1:17" s="163" customFormat="1" ht="39" customHeight="1" outlineLevel="1">
      <c r="A26" s="497" t="s">
        <v>47</v>
      </c>
      <c r="B26" s="594"/>
      <c r="C26" s="594"/>
      <c r="D26" s="594"/>
      <c r="E26" s="594"/>
      <c r="F26" s="594"/>
      <c r="G26" s="594"/>
      <c r="H26" s="594"/>
      <c r="I26" s="594"/>
      <c r="J26" s="594"/>
      <c r="K26" s="594"/>
      <c r="L26" s="311" t="s">
        <v>22</v>
      </c>
      <c r="M26" s="312" t="s">
        <v>48</v>
      </c>
    </row>
    <row r="27" spans="1:17" s="163" customFormat="1" ht="110.1" customHeight="1" outlineLevel="1" thickBot="1">
      <c r="A27" s="165" t="s">
        <v>49</v>
      </c>
      <c r="B27" s="165" t="s">
        <v>50</v>
      </c>
      <c r="C27" s="165" t="s">
        <v>51</v>
      </c>
      <c r="D27" s="165" t="s">
        <v>52</v>
      </c>
      <c r="E27" s="165" t="s">
        <v>53</v>
      </c>
      <c r="F27" s="165" t="s">
        <v>54</v>
      </c>
      <c r="G27" s="165" t="s">
        <v>55</v>
      </c>
      <c r="H27" s="165" t="s">
        <v>56</v>
      </c>
      <c r="I27" s="473" t="s">
        <v>57</v>
      </c>
      <c r="J27" s="474"/>
      <c r="K27" s="474"/>
      <c r="L27" s="316"/>
      <c r="M27" s="312" t="s">
        <v>48</v>
      </c>
    </row>
    <row r="28" spans="1:17" s="173" customFormat="1" ht="60.95" customHeight="1" outlineLevel="1">
      <c r="A28" s="166" t="s">
        <v>58</v>
      </c>
      <c r="B28" s="167"/>
      <c r="C28" s="168"/>
      <c r="D28" s="9"/>
      <c r="E28" s="169"/>
      <c r="F28" s="170"/>
      <c r="G28" s="171"/>
      <c r="H28" s="286">
        <f>F28*G28</f>
        <v>0</v>
      </c>
      <c r="I28" s="486"/>
      <c r="J28" s="487"/>
      <c r="K28" s="487"/>
      <c r="L28" s="317" t="s">
        <v>59</v>
      </c>
      <c r="M28" s="312" t="s">
        <v>48</v>
      </c>
      <c r="N28" s="172"/>
      <c r="O28" s="172"/>
      <c r="P28" s="172"/>
      <c r="Q28" s="172"/>
    </row>
    <row r="29" spans="1:17" s="145" customFormat="1" ht="80.25" customHeight="1" outlineLevel="1">
      <c r="A29" s="10" t="s">
        <v>60</v>
      </c>
      <c r="B29" s="11"/>
      <c r="C29" s="174"/>
      <c r="D29" s="12"/>
      <c r="E29" s="175"/>
      <c r="F29" s="13"/>
      <c r="G29" s="176"/>
      <c r="H29" s="287">
        <f>F29*G29</f>
        <v>0</v>
      </c>
      <c r="I29" s="488"/>
      <c r="J29" s="475"/>
      <c r="K29" s="475"/>
      <c r="L29" s="318" t="s">
        <v>61</v>
      </c>
      <c r="M29" s="312"/>
    </row>
    <row r="30" spans="1:17" s="145" customFormat="1" ht="17.100000000000001" customHeight="1">
      <c r="A30" s="14"/>
      <c r="B30" s="14"/>
      <c r="C30" s="15"/>
      <c r="D30" s="15"/>
      <c r="E30" s="177"/>
      <c r="F30" s="16"/>
      <c r="G30" s="178"/>
      <c r="H30" s="179"/>
      <c r="I30" s="144"/>
      <c r="J30" s="144"/>
      <c r="K30" s="144"/>
      <c r="L30" s="319"/>
      <c r="M30" s="312" t="s">
        <v>48</v>
      </c>
    </row>
    <row r="31" spans="1:17" s="163" customFormat="1" ht="41.1" customHeight="1" outlineLevel="1">
      <c r="A31" s="537" t="s">
        <v>62</v>
      </c>
      <c r="B31" s="538"/>
      <c r="C31" s="538"/>
      <c r="D31" s="538"/>
      <c r="E31" s="538"/>
      <c r="F31" s="538"/>
      <c r="G31" s="538"/>
      <c r="H31" s="538"/>
      <c r="I31" s="538"/>
      <c r="J31" s="538"/>
      <c r="K31" s="538"/>
      <c r="L31" s="311" t="s">
        <v>22</v>
      </c>
      <c r="M31" s="312" t="s">
        <v>63</v>
      </c>
    </row>
    <row r="32" spans="1:17" s="163" customFormat="1" ht="17.100000000000001" customHeight="1" outlineLevel="1">
      <c r="A32" s="180"/>
      <c r="B32" s="181"/>
      <c r="C32" s="181"/>
      <c r="D32" s="181"/>
      <c r="E32" s="181"/>
      <c r="F32" s="181"/>
      <c r="G32" s="182"/>
      <c r="H32" s="543" t="s">
        <v>64</v>
      </c>
      <c r="I32" s="543"/>
      <c r="J32" s="543"/>
      <c r="K32" s="544"/>
      <c r="L32" s="316"/>
      <c r="M32" s="312" t="s">
        <v>63</v>
      </c>
    </row>
    <row r="33" spans="1:13" s="163" customFormat="1" ht="77.099999999999994" customHeight="1" outlineLevel="1">
      <c r="A33" s="183" t="s">
        <v>65</v>
      </c>
      <c r="B33" s="501" t="s">
        <v>66</v>
      </c>
      <c r="C33" s="471"/>
      <c r="D33" s="471"/>
      <c r="E33" s="471"/>
      <c r="F33" s="472"/>
      <c r="G33" s="184" t="s">
        <v>10</v>
      </c>
      <c r="H33" s="467"/>
      <c r="I33" s="467"/>
      <c r="J33" s="467"/>
      <c r="K33" s="468"/>
      <c r="L33" s="316"/>
      <c r="M33" s="312" t="s">
        <v>63</v>
      </c>
    </row>
    <row r="34" spans="1:13" s="163" customFormat="1" ht="29.1" customHeight="1" outlineLevel="1">
      <c r="A34" s="183" t="s">
        <v>67</v>
      </c>
      <c r="B34" s="501" t="s">
        <v>68</v>
      </c>
      <c r="C34" s="502"/>
      <c r="D34" s="502"/>
      <c r="E34" s="502"/>
      <c r="F34" s="503"/>
      <c r="G34" s="348">
        <f>(VLOOKUP(B9,'Pick lists'!N3:O146,2,FALSE))/100</f>
        <v>0</v>
      </c>
      <c r="H34" s="471"/>
      <c r="I34" s="471"/>
      <c r="J34" s="471"/>
      <c r="K34" s="472"/>
      <c r="L34" s="316"/>
      <c r="M34" s="312" t="s">
        <v>63</v>
      </c>
    </row>
    <row r="35" spans="1:13" s="163" customFormat="1" ht="90.95" customHeight="1" outlineLevel="1">
      <c r="A35" s="185" t="s">
        <v>69</v>
      </c>
      <c r="B35" s="501" t="s">
        <v>70</v>
      </c>
      <c r="C35" s="502"/>
      <c r="D35" s="502"/>
      <c r="E35" s="502"/>
      <c r="F35" s="503"/>
      <c r="G35" s="347" t="e">
        <f>IF(B9="United States",VLOOKUP(B10,'Pick lists'!H3:L31,3,FALSE),VLOOKUP(B9,'Pick lists'!N5:Q147,3,FALSE))</f>
        <v>#N/A</v>
      </c>
      <c r="H35" s="346"/>
      <c r="I35" s="346"/>
      <c r="J35" s="346"/>
      <c r="K35" s="346"/>
      <c r="L35" s="316"/>
      <c r="M35" s="312" t="s">
        <v>63</v>
      </c>
    </row>
    <row r="36" spans="1:13" s="163" customFormat="1" ht="130.5" customHeight="1" outlineLevel="1">
      <c r="A36" s="185" t="s">
        <v>71</v>
      </c>
      <c r="B36" s="501" t="s">
        <v>72</v>
      </c>
      <c r="C36" s="467"/>
      <c r="D36" s="467"/>
      <c r="E36" s="467"/>
      <c r="F36" s="468"/>
      <c r="G36" s="351" t="e">
        <f>IF(B9="United States",VLOOKUP(B10,'Pick lists'!H3:L31,5,FALSE),VLOOKUP(B9,'Pick lists'!N5:Q147,4,FALSE))</f>
        <v>#N/A</v>
      </c>
      <c r="H36" s="469"/>
      <c r="I36" s="469"/>
      <c r="J36" s="469"/>
      <c r="K36" s="469"/>
      <c r="L36" s="318" t="s">
        <v>73</v>
      </c>
      <c r="M36" s="312" t="s">
        <v>63</v>
      </c>
    </row>
    <row r="37" spans="1:13" s="163" customFormat="1" ht="45.95" customHeight="1" outlineLevel="1">
      <c r="A37" s="185" t="s">
        <v>74</v>
      </c>
      <c r="B37" s="501" t="s">
        <v>75</v>
      </c>
      <c r="C37" s="467"/>
      <c r="D37" s="467"/>
      <c r="E37" s="467"/>
      <c r="F37" s="468"/>
      <c r="G37" s="349" t="e">
        <f>G35*E16</f>
        <v>#N/A</v>
      </c>
      <c r="H37" s="346"/>
      <c r="I37" s="346"/>
      <c r="J37" s="346"/>
      <c r="K37" s="346"/>
      <c r="L37" s="316"/>
      <c r="M37" s="312"/>
    </row>
    <row r="38" spans="1:13" s="163" customFormat="1" ht="57.95" customHeight="1" outlineLevel="1">
      <c r="A38" s="185" t="s">
        <v>76</v>
      </c>
      <c r="B38" s="501" t="s">
        <v>77</v>
      </c>
      <c r="C38" s="502"/>
      <c r="D38" s="502"/>
      <c r="E38" s="502"/>
      <c r="F38" s="503"/>
      <c r="G38" s="349" t="e">
        <f>G35*B16</f>
        <v>#N/A</v>
      </c>
      <c r="H38" s="346"/>
      <c r="I38" s="346"/>
      <c r="J38" s="346"/>
      <c r="K38" s="346"/>
      <c r="L38" s="316"/>
      <c r="M38" s="312"/>
    </row>
    <row r="39" spans="1:13" s="163" customFormat="1" ht="36" customHeight="1" outlineLevel="1">
      <c r="A39" s="185" t="s">
        <v>78</v>
      </c>
      <c r="B39" s="492" t="s">
        <v>79</v>
      </c>
      <c r="C39" s="493"/>
      <c r="D39" s="493"/>
      <c r="E39" s="493"/>
      <c r="F39" s="494"/>
      <c r="G39" s="350" t="e">
        <f>IF(G36=0,G35*E16,G36*E16)</f>
        <v>#N/A</v>
      </c>
      <c r="H39" s="470"/>
      <c r="I39" s="470"/>
      <c r="J39" s="470"/>
      <c r="K39" s="470"/>
      <c r="L39" s="316"/>
      <c r="M39" s="312" t="s">
        <v>63</v>
      </c>
    </row>
    <row r="40" spans="1:13" s="145" customFormat="1" ht="23.1" customHeight="1">
      <c r="A40" s="14"/>
      <c r="B40" s="14"/>
      <c r="C40" s="17"/>
      <c r="D40" s="17"/>
      <c r="E40" s="177"/>
      <c r="F40" s="16"/>
      <c r="G40" s="178"/>
      <c r="H40" s="179"/>
      <c r="I40" s="144"/>
      <c r="J40" s="144"/>
      <c r="K40" s="144"/>
      <c r="L40" s="319"/>
      <c r="M40" s="312" t="s">
        <v>63</v>
      </c>
    </row>
    <row r="41" spans="1:13" s="163" customFormat="1" ht="36.950000000000003" customHeight="1" outlineLevel="1">
      <c r="A41" s="497" t="s">
        <v>80</v>
      </c>
      <c r="B41" s="594"/>
      <c r="C41" s="594"/>
      <c r="D41" s="594"/>
      <c r="E41" s="594"/>
      <c r="F41" s="594"/>
      <c r="G41" s="594"/>
      <c r="H41" s="594"/>
      <c r="I41" s="594"/>
      <c r="J41" s="594"/>
      <c r="K41" s="594"/>
      <c r="L41" s="311" t="s">
        <v>22</v>
      </c>
      <c r="M41" s="312" t="s">
        <v>81</v>
      </c>
    </row>
    <row r="42" spans="1:13" s="145" customFormat="1" ht="96" customHeight="1" outlineLevel="1" thickBot="1">
      <c r="A42" s="186" t="s">
        <v>82</v>
      </c>
      <c r="B42" s="186" t="s">
        <v>83</v>
      </c>
      <c r="C42" s="186" t="s">
        <v>84</v>
      </c>
      <c r="D42" s="186" t="s">
        <v>85</v>
      </c>
      <c r="E42" s="445" t="s">
        <v>86</v>
      </c>
      <c r="F42" s="498" t="s">
        <v>87</v>
      </c>
      <c r="G42" s="499"/>
      <c r="H42" s="499"/>
      <c r="I42" s="499"/>
      <c r="J42" s="499"/>
      <c r="K42" s="499"/>
      <c r="L42" s="318"/>
      <c r="M42" s="312" t="s">
        <v>81</v>
      </c>
    </row>
    <row r="43" spans="1:13" s="145" customFormat="1" ht="56.1" customHeight="1" outlineLevel="1">
      <c r="A43" s="18"/>
      <c r="B43" s="109"/>
      <c r="C43" s="109"/>
      <c r="D43" s="187" t="s">
        <v>10</v>
      </c>
      <c r="E43" s="288">
        <f>IF(B43="",0,IF((B43/C43*(0.5))&lt;0.25,(B43/C43*0.5),0.25))</f>
        <v>0</v>
      </c>
      <c r="F43" s="566"/>
      <c r="G43" s="567"/>
      <c r="H43" s="567"/>
      <c r="I43" s="567"/>
      <c r="J43" s="567"/>
      <c r="K43" s="568"/>
      <c r="L43" s="318" t="s">
        <v>88</v>
      </c>
      <c r="M43" s="312" t="s">
        <v>81</v>
      </c>
    </row>
    <row r="44" spans="1:13" s="145" customFormat="1" ht="18" customHeight="1">
      <c r="A44" s="14"/>
      <c r="B44" s="14"/>
      <c r="C44" s="17"/>
      <c r="D44" s="17"/>
      <c r="E44" s="177"/>
      <c r="F44" s="16"/>
      <c r="G44" s="178"/>
      <c r="H44" s="179"/>
      <c r="I44" s="144"/>
      <c r="J44" s="144"/>
      <c r="K44" s="144"/>
      <c r="L44" s="319"/>
      <c r="M44" s="312" t="s">
        <v>81</v>
      </c>
    </row>
    <row r="45" spans="1:13" s="145" customFormat="1" ht="57.95" customHeight="1" outlineLevel="1">
      <c r="A45" s="500" t="s">
        <v>89</v>
      </c>
      <c r="B45" s="500"/>
      <c r="C45" s="500"/>
      <c r="D45" s="500"/>
      <c r="E45" s="500"/>
      <c r="F45" s="500"/>
      <c r="G45" s="500"/>
      <c r="H45" s="500"/>
      <c r="I45" s="500"/>
      <c r="J45" s="500"/>
      <c r="K45" s="500"/>
      <c r="L45" s="311" t="s">
        <v>22</v>
      </c>
      <c r="M45" s="312" t="s">
        <v>90</v>
      </c>
    </row>
    <row r="46" spans="1:13" s="145" customFormat="1" ht="39" customHeight="1" outlineLevel="1">
      <c r="A46" s="481" t="s">
        <v>91</v>
      </c>
      <c r="B46" s="506" t="s">
        <v>92</v>
      </c>
      <c r="C46" s="506" t="s">
        <v>93</v>
      </c>
      <c r="D46" s="506" t="s">
        <v>94</v>
      </c>
      <c r="E46" s="506" t="s">
        <v>95</v>
      </c>
      <c r="F46" s="477" t="s">
        <v>27</v>
      </c>
      <c r="G46" s="478"/>
      <c r="H46" s="479" t="s">
        <v>96</v>
      </c>
      <c r="I46" s="480"/>
      <c r="J46" s="480"/>
      <c r="K46" s="481"/>
      <c r="L46" s="318"/>
      <c r="M46" s="312" t="s">
        <v>90</v>
      </c>
    </row>
    <row r="47" spans="1:13" s="145" customFormat="1" ht="54" customHeight="1" outlineLevel="1" thickBot="1">
      <c r="A47" s="484"/>
      <c r="B47" s="507"/>
      <c r="C47" s="507"/>
      <c r="D47" s="507"/>
      <c r="E47" s="507"/>
      <c r="F47" s="188" t="s">
        <v>97</v>
      </c>
      <c r="G47" s="188" t="s">
        <v>98</v>
      </c>
      <c r="H47" s="482"/>
      <c r="I47" s="483"/>
      <c r="J47" s="483"/>
      <c r="K47" s="484"/>
      <c r="L47" s="318"/>
      <c r="M47" s="312" t="s">
        <v>90</v>
      </c>
    </row>
    <row r="48" spans="1:13" s="145" customFormat="1" ht="35.1" customHeight="1" outlineLevel="1">
      <c r="A48" s="189" t="s">
        <v>99</v>
      </c>
      <c r="B48" s="190"/>
      <c r="C48" s="190"/>
      <c r="D48" s="190"/>
      <c r="E48" s="289"/>
      <c r="F48" s="190"/>
      <c r="G48" s="291"/>
      <c r="H48" s="191"/>
      <c r="I48" s="192"/>
      <c r="J48" s="192"/>
      <c r="K48" s="193"/>
      <c r="L48" s="444"/>
      <c r="M48" s="312" t="s">
        <v>90</v>
      </c>
    </row>
    <row r="49" spans="1:13" s="145" customFormat="1" outlineLevel="1">
      <c r="A49" s="194" t="s">
        <v>100</v>
      </c>
      <c r="B49" s="110"/>
      <c r="C49" s="28" t="s">
        <v>101</v>
      </c>
      <c r="D49" s="297">
        <f>IF(C49="","",VLOOKUP(C49,'Pick lists'!B4:C14,2,FALSE))</f>
        <v>0.20215711827430538</v>
      </c>
      <c r="E49" s="290" t="str">
        <f t="shared" ref="E49:E61" si="0">IF(B49=0,"",B49*D49)</f>
        <v/>
      </c>
      <c r="F49" s="116"/>
      <c r="G49" s="292" t="str">
        <f t="shared" ref="G49:G55" si="1">IF(B49=0,"",E49*F49)</f>
        <v/>
      </c>
      <c r="H49" s="489"/>
      <c r="I49" s="490"/>
      <c r="J49" s="490"/>
      <c r="K49" s="491"/>
      <c r="L49" s="521" t="s">
        <v>102</v>
      </c>
      <c r="M49" s="312" t="s">
        <v>90</v>
      </c>
    </row>
    <row r="50" spans="1:13" s="145" customFormat="1" outlineLevel="1">
      <c r="A50" s="195" t="s">
        <v>103</v>
      </c>
      <c r="B50" s="60"/>
      <c r="C50" s="19" t="s">
        <v>104</v>
      </c>
      <c r="D50" s="296">
        <f>IF(C50="","",VLOOKUP(C50,'Pick lists'!B15:C16,2,FALSE))</f>
        <v>1.6130922390000001E-3</v>
      </c>
      <c r="E50" s="290" t="str">
        <f t="shared" si="0"/>
        <v/>
      </c>
      <c r="F50" s="117"/>
      <c r="G50" s="292" t="str">
        <f t="shared" si="1"/>
        <v/>
      </c>
      <c r="H50" s="489"/>
      <c r="I50" s="490"/>
      <c r="J50" s="490"/>
      <c r="K50" s="490"/>
      <c r="L50" s="522"/>
      <c r="M50" s="312" t="s">
        <v>90</v>
      </c>
    </row>
    <row r="51" spans="1:13" s="145" customFormat="1" outlineLevel="1">
      <c r="A51" s="10" t="s">
        <v>105</v>
      </c>
      <c r="C51" s="19" t="s">
        <v>104</v>
      </c>
      <c r="D51" s="296">
        <f>IF(C51="","",VLOOKUP(C51,'Pick lists'!B17:C18,2,FALSE))</f>
        <v>2.2797586259999999E-3</v>
      </c>
      <c r="E51" s="290" t="str">
        <f t="shared" si="0"/>
        <v/>
      </c>
      <c r="F51" s="117"/>
      <c r="G51" s="292" t="str">
        <f t="shared" si="1"/>
        <v/>
      </c>
      <c r="H51" s="495"/>
      <c r="I51" s="496"/>
      <c r="J51" s="496"/>
      <c r="K51" s="496"/>
      <c r="L51" s="522"/>
      <c r="M51" s="312" t="s">
        <v>90</v>
      </c>
    </row>
    <row r="52" spans="1:13" s="145" customFormat="1" outlineLevel="1">
      <c r="A52" s="32" t="s">
        <v>106</v>
      </c>
      <c r="B52" s="60"/>
      <c r="C52" s="19" t="s">
        <v>104</v>
      </c>
      <c r="D52" s="296">
        <f>IF(C52="","",VLOOKUP(C52,'Pick lists'!B19:C20,2,FALSE))</f>
        <v>2.6852691599999999E-3</v>
      </c>
      <c r="E52" s="290" t="str">
        <f t="shared" si="0"/>
        <v/>
      </c>
      <c r="F52" s="117"/>
      <c r="G52" s="292" t="str">
        <f t="shared" si="1"/>
        <v/>
      </c>
      <c r="H52" s="495"/>
      <c r="I52" s="496"/>
      <c r="J52" s="496"/>
      <c r="K52" s="496"/>
      <c r="L52" s="522"/>
      <c r="M52" s="312" t="s">
        <v>90</v>
      </c>
    </row>
    <row r="53" spans="1:13" s="145" customFormat="1" outlineLevel="1">
      <c r="A53" s="32" t="s">
        <v>40</v>
      </c>
      <c r="B53" s="60"/>
      <c r="C53" s="31"/>
      <c r="D53" s="31"/>
      <c r="E53" s="290" t="str">
        <f t="shared" si="0"/>
        <v/>
      </c>
      <c r="F53" s="117"/>
      <c r="G53" s="292" t="str">
        <f t="shared" si="1"/>
        <v/>
      </c>
      <c r="H53" s="495"/>
      <c r="I53" s="496"/>
      <c r="J53" s="496"/>
      <c r="K53" s="496"/>
      <c r="L53" s="522"/>
      <c r="M53" s="312" t="s">
        <v>90</v>
      </c>
    </row>
    <row r="54" spans="1:13" s="145" customFormat="1" outlineLevel="1">
      <c r="A54" s="32"/>
      <c r="B54" s="60"/>
      <c r="C54" s="31"/>
      <c r="D54" s="31"/>
      <c r="E54" s="290" t="str">
        <f t="shared" si="0"/>
        <v/>
      </c>
      <c r="F54" s="117"/>
      <c r="G54" s="292" t="str">
        <f t="shared" si="1"/>
        <v/>
      </c>
      <c r="H54" s="495"/>
      <c r="I54" s="496"/>
      <c r="J54" s="496"/>
      <c r="K54" s="496"/>
      <c r="L54" s="522"/>
      <c r="M54" s="312" t="s">
        <v>90</v>
      </c>
    </row>
    <row r="55" spans="1:13" s="145" customFormat="1" outlineLevel="1">
      <c r="A55" s="10" t="s">
        <v>107</v>
      </c>
      <c r="B55" s="60"/>
      <c r="C55" s="19" t="s">
        <v>108</v>
      </c>
      <c r="D55" s="131" t="s">
        <v>109</v>
      </c>
      <c r="E55" s="290" t="str">
        <f t="shared" si="0"/>
        <v/>
      </c>
      <c r="F55" s="117"/>
      <c r="G55" s="292" t="str">
        <f t="shared" si="1"/>
        <v/>
      </c>
      <c r="H55" s="495"/>
      <c r="I55" s="496"/>
      <c r="J55" s="496"/>
      <c r="K55" s="496"/>
      <c r="L55" s="522"/>
      <c r="M55" s="312" t="s">
        <v>90</v>
      </c>
    </row>
    <row r="56" spans="1:13" s="145" customFormat="1" ht="20.100000000000001" customHeight="1" outlineLevel="1">
      <c r="A56" s="36" t="s">
        <v>110</v>
      </c>
      <c r="B56" s="111"/>
      <c r="C56" s="33"/>
      <c r="D56" s="34"/>
      <c r="E56" s="114"/>
      <c r="F56" s="117"/>
      <c r="G56" s="37">
        <f>SUM(G49:G55)</f>
        <v>0</v>
      </c>
      <c r="H56" s="21"/>
      <c r="I56" s="22"/>
      <c r="J56" s="22"/>
      <c r="K56" s="22"/>
      <c r="L56" s="522"/>
      <c r="M56" s="312" t="s">
        <v>90</v>
      </c>
    </row>
    <row r="57" spans="1:13" s="145" customFormat="1" ht="23.1" customHeight="1" outlineLevel="1">
      <c r="A57" s="38" t="s">
        <v>111</v>
      </c>
      <c r="B57" s="112"/>
      <c r="C57" s="39"/>
      <c r="D57" s="40"/>
      <c r="E57" s="360"/>
      <c r="F57" s="118"/>
      <c r="G57" s="41"/>
      <c r="H57" s="26"/>
      <c r="I57" s="27"/>
      <c r="J57" s="27"/>
      <c r="K57" s="27"/>
      <c r="L57" s="522"/>
      <c r="M57" s="312" t="s">
        <v>90</v>
      </c>
    </row>
    <row r="58" spans="1:13" s="145" customFormat="1" ht="21" customHeight="1" outlineLevel="1">
      <c r="A58" s="32" t="s">
        <v>112</v>
      </c>
      <c r="B58" s="111"/>
      <c r="C58" s="417" t="s">
        <v>113</v>
      </c>
      <c r="D58" s="296">
        <f>(0.25*0.8*28)</f>
        <v>5.6000000000000005</v>
      </c>
      <c r="E58" s="290" t="str">
        <f t="shared" si="0"/>
        <v/>
      </c>
      <c r="F58" s="117"/>
      <c r="G58" s="35" t="str">
        <f>IF(B58=0,"",E58*F58)</f>
        <v/>
      </c>
      <c r="H58" s="495"/>
      <c r="I58" s="496"/>
      <c r="J58" s="496"/>
      <c r="K58" s="496"/>
      <c r="L58" s="522"/>
      <c r="M58" s="312" t="s">
        <v>90</v>
      </c>
    </row>
    <row r="59" spans="1:13" s="145" customFormat="1" ht="27" customHeight="1" outlineLevel="1">
      <c r="A59" s="32" t="s">
        <v>114</v>
      </c>
      <c r="B59" s="111"/>
      <c r="C59" s="19"/>
      <c r="D59" s="42"/>
      <c r="E59" s="290" t="str">
        <f t="shared" si="0"/>
        <v/>
      </c>
      <c r="F59" s="119"/>
      <c r="G59" s="52"/>
      <c r="H59" s="495"/>
      <c r="I59" s="496"/>
      <c r="J59" s="496"/>
      <c r="K59" s="525"/>
      <c r="L59" s="522"/>
      <c r="M59" s="312" t="s">
        <v>90</v>
      </c>
    </row>
    <row r="60" spans="1:13" s="145" customFormat="1" ht="21" customHeight="1" outlineLevel="1">
      <c r="A60" s="32"/>
      <c r="B60" s="111"/>
      <c r="C60" s="19"/>
      <c r="D60" s="42"/>
      <c r="E60" s="290" t="str">
        <f t="shared" si="0"/>
        <v/>
      </c>
      <c r="F60" s="119"/>
      <c r="G60" s="52"/>
      <c r="H60" s="495"/>
      <c r="I60" s="496"/>
      <c r="J60" s="496"/>
      <c r="K60" s="525"/>
      <c r="L60" s="522"/>
      <c r="M60" s="312" t="s">
        <v>90</v>
      </c>
    </row>
    <row r="61" spans="1:13" s="145" customFormat="1" ht="15.95" outlineLevel="1" thickBot="1">
      <c r="A61" s="43" t="s">
        <v>110</v>
      </c>
      <c r="B61" s="60"/>
      <c r="C61" s="19"/>
      <c r="D61" s="42"/>
      <c r="E61" s="115" t="str">
        <f t="shared" si="0"/>
        <v/>
      </c>
      <c r="F61" s="120"/>
      <c r="G61" s="45">
        <f>SUM(G58:G60)</f>
        <v>0</v>
      </c>
      <c r="H61" s="504"/>
      <c r="I61" s="505"/>
      <c r="J61" s="505"/>
      <c r="K61" s="505"/>
      <c r="L61" s="523"/>
      <c r="M61" s="312" t="s">
        <v>90</v>
      </c>
    </row>
    <row r="62" spans="1:13" s="145" customFormat="1" ht="44.25" customHeight="1" outlineLevel="1" thickBot="1">
      <c r="A62" s="198"/>
      <c r="B62" s="485" t="s">
        <v>115</v>
      </c>
      <c r="C62" s="449"/>
      <c r="D62" s="450"/>
      <c r="E62" s="361">
        <f>SUM(E49:E55)+SUM(E58:E60)</f>
        <v>0</v>
      </c>
      <c r="F62" s="200"/>
      <c r="G62" s="293">
        <f>G56+G61</f>
        <v>0</v>
      </c>
      <c r="H62" s="201"/>
      <c r="I62" s="144"/>
      <c r="J62" s="144"/>
      <c r="K62" s="202"/>
      <c r="L62" s="318"/>
      <c r="M62" s="312" t="s">
        <v>90</v>
      </c>
    </row>
    <row r="63" spans="1:13" s="145" customFormat="1" ht="18.95" customHeight="1">
      <c r="A63" s="447"/>
      <c r="B63" s="203"/>
      <c r="C63" s="203"/>
      <c r="D63" s="203"/>
      <c r="E63" s="204"/>
      <c r="F63" s="205"/>
      <c r="G63" s="144"/>
      <c r="H63" s="144"/>
      <c r="I63" s="144"/>
      <c r="J63" s="144"/>
      <c r="K63" s="144"/>
      <c r="L63" s="319"/>
      <c r="M63" s="312" t="s">
        <v>90</v>
      </c>
    </row>
    <row r="64" spans="1:13" s="145" customFormat="1" ht="15.95" outlineLevel="1" thickBot="1">
      <c r="A64" s="146" t="s">
        <v>116</v>
      </c>
      <c r="B64" s="147"/>
      <c r="C64" s="147"/>
      <c r="D64" s="147"/>
      <c r="E64" s="206"/>
      <c r="F64" s="147"/>
      <c r="G64" s="147"/>
      <c r="H64" s="207"/>
      <c r="I64" s="207"/>
      <c r="J64" s="207"/>
      <c r="K64" s="207"/>
      <c r="L64" s="311" t="s">
        <v>22</v>
      </c>
      <c r="M64" s="312" t="s">
        <v>117</v>
      </c>
    </row>
    <row r="65" spans="1:13" s="145" customFormat="1" ht="77.099999999999994" customHeight="1" outlineLevel="1" thickBot="1">
      <c r="A65" s="186" t="s">
        <v>118</v>
      </c>
      <c r="B65" s="188" t="s">
        <v>92</v>
      </c>
      <c r="C65" s="188" t="s">
        <v>119</v>
      </c>
      <c r="D65" s="188" t="s">
        <v>120</v>
      </c>
      <c r="E65" s="188" t="s">
        <v>95</v>
      </c>
      <c r="F65" s="188" t="s">
        <v>121</v>
      </c>
      <c r="G65" s="188" t="s">
        <v>98</v>
      </c>
      <c r="H65" s="208" t="s">
        <v>122</v>
      </c>
      <c r="I65" s="451" t="s">
        <v>64</v>
      </c>
      <c r="J65" s="452"/>
      <c r="K65" s="452"/>
      <c r="L65" s="317"/>
      <c r="M65" s="312" t="s">
        <v>117</v>
      </c>
    </row>
    <row r="66" spans="1:13" s="145" customFormat="1" outlineLevel="1">
      <c r="A66" s="209" t="s">
        <v>123</v>
      </c>
      <c r="B66" s="46"/>
      <c r="C66" s="47"/>
      <c r="D66" s="294"/>
      <c r="E66" s="295" t="str">
        <f>IF(B66=0,"",B66*D66)</f>
        <v/>
      </c>
      <c r="F66" s="48"/>
      <c r="G66" s="298" t="str">
        <f>IF(B66=0,"",E66*F66)</f>
        <v/>
      </c>
      <c r="H66" s="210"/>
      <c r="I66" s="453"/>
      <c r="J66" s="454"/>
      <c r="K66" s="454"/>
      <c r="L66" s="526" t="s">
        <v>102</v>
      </c>
      <c r="M66" s="312" t="s">
        <v>117</v>
      </c>
    </row>
    <row r="67" spans="1:13" s="145" customFormat="1" outlineLevel="1">
      <c r="A67" s="10" t="s">
        <v>124</v>
      </c>
      <c r="B67" s="60"/>
      <c r="C67" s="19" t="s">
        <v>125</v>
      </c>
      <c r="D67" s="296">
        <f>IF(C67="","",VLOOKUP(C67,'Pick lists'!B21:C22,2,FALSE))</f>
        <v>1.77684</v>
      </c>
      <c r="E67" s="113" t="str">
        <f>IF(B67=0,"",B67*D67)</f>
        <v/>
      </c>
      <c r="F67" s="117"/>
      <c r="G67" s="35" t="str">
        <f>IF(B67=0,"",E67*F67)</f>
        <v/>
      </c>
      <c r="H67" s="197">
        <v>0</v>
      </c>
      <c r="I67" s="455"/>
      <c r="J67" s="456"/>
      <c r="K67" s="456"/>
      <c r="L67" s="527"/>
      <c r="M67" s="312" t="s">
        <v>117</v>
      </c>
    </row>
    <row r="68" spans="1:13" s="145" customFormat="1" outlineLevel="1">
      <c r="A68" s="211" t="s">
        <v>126</v>
      </c>
      <c r="B68" s="110"/>
      <c r="C68" s="28"/>
      <c r="D68" s="297"/>
      <c r="E68" s="113" t="str">
        <f>IF(B68=0,"",B68*D68)</f>
        <v/>
      </c>
      <c r="F68" s="116"/>
      <c r="G68" s="35" t="str">
        <f>IF(B68=0,"",E68*F68)</f>
        <v/>
      </c>
      <c r="H68" s="212">
        <v>0</v>
      </c>
      <c r="I68" s="455"/>
      <c r="J68" s="456"/>
      <c r="K68" s="456"/>
      <c r="L68" s="527"/>
      <c r="M68" s="312" t="s">
        <v>117</v>
      </c>
    </row>
    <row r="69" spans="1:13" s="145" customFormat="1" outlineLevel="1">
      <c r="A69" s="10" t="s">
        <v>40</v>
      </c>
      <c r="B69" s="110"/>
      <c r="C69" s="28"/>
      <c r="D69" s="297"/>
      <c r="E69" s="290"/>
      <c r="F69" s="116"/>
      <c r="G69" s="35" t="str">
        <f>IF(B69=0,"",E69*F69)</f>
        <v/>
      </c>
      <c r="H69" s="212"/>
      <c r="I69" s="455"/>
      <c r="J69" s="456"/>
      <c r="K69" s="456"/>
      <c r="L69" s="527"/>
      <c r="M69" s="312" t="s">
        <v>117</v>
      </c>
    </row>
    <row r="70" spans="1:13" s="145" customFormat="1" ht="14.1" outlineLevel="1">
      <c r="A70" s="10"/>
      <c r="B70" s="110"/>
      <c r="C70" s="28"/>
      <c r="D70" s="297"/>
      <c r="E70" s="290"/>
      <c r="F70" s="116"/>
      <c r="G70" s="292"/>
      <c r="H70" s="212"/>
      <c r="I70" s="455"/>
      <c r="J70" s="456"/>
      <c r="K70" s="456"/>
      <c r="L70" s="527"/>
      <c r="M70" s="312" t="s">
        <v>117</v>
      </c>
    </row>
    <row r="71" spans="1:13" s="145" customFormat="1" outlineLevel="1">
      <c r="A71" s="43" t="s">
        <v>127</v>
      </c>
      <c r="B71" s="110"/>
      <c r="C71" s="28"/>
      <c r="D71" s="297"/>
      <c r="E71" s="290"/>
      <c r="F71" s="116"/>
      <c r="G71" s="299">
        <f>SUM(G67:G70)</f>
        <v>0</v>
      </c>
      <c r="H71" s="213"/>
      <c r="I71" s="128"/>
      <c r="J71" s="129"/>
      <c r="K71" s="129"/>
      <c r="L71" s="528"/>
      <c r="M71" s="312" t="s">
        <v>117</v>
      </c>
    </row>
    <row r="72" spans="1:13" s="145" customFormat="1" ht="14.1" outlineLevel="1">
      <c r="A72" s="10"/>
      <c r="B72" s="110"/>
      <c r="C72" s="28"/>
      <c r="D72" s="297"/>
      <c r="E72" s="290"/>
      <c r="F72" s="116"/>
      <c r="G72" s="292"/>
      <c r="H72" s="213"/>
      <c r="I72" s="128"/>
      <c r="J72" s="129"/>
      <c r="K72" s="129"/>
      <c r="L72" s="317"/>
      <c r="M72" s="312" t="s">
        <v>117</v>
      </c>
    </row>
    <row r="73" spans="1:13" s="145" customFormat="1" ht="51" customHeight="1" outlineLevel="1">
      <c r="A73" s="214" t="s">
        <v>128</v>
      </c>
      <c r="B73" s="580" t="s">
        <v>129</v>
      </c>
      <c r="C73" s="581"/>
      <c r="D73" s="581"/>
      <c r="E73" s="581"/>
      <c r="F73" s="581"/>
      <c r="G73" s="581"/>
      <c r="H73" s="581"/>
      <c r="I73" s="581"/>
      <c r="J73" s="581"/>
      <c r="K73" s="582"/>
      <c r="L73" s="317"/>
      <c r="M73" s="312" t="s">
        <v>117</v>
      </c>
    </row>
    <row r="74" spans="1:13" s="145" customFormat="1" outlineLevel="1">
      <c r="A74" s="31" t="s">
        <v>130</v>
      </c>
      <c r="B74" s="60"/>
      <c r="C74" s="19" t="s">
        <v>101</v>
      </c>
      <c r="D74" s="296" t="str">
        <f>IF(B74="","",VLOOKUP(C74,'Pick lists'!B23:C24,2,FALSE))</f>
        <v/>
      </c>
      <c r="E74" s="113" t="str">
        <f>IF(B74=0,"",B74*D74)</f>
        <v/>
      </c>
      <c r="F74" s="117"/>
      <c r="G74" s="35" t="str">
        <f>IF(B74=0,"",E74*F74)</f>
        <v/>
      </c>
      <c r="H74" s="42" t="str">
        <f>IF(B74="","",VLOOKUP(C74,'Pick lists'!B23:E24,4,FALSE))</f>
        <v/>
      </c>
      <c r="I74" s="455"/>
      <c r="J74" s="456"/>
      <c r="K74" s="456"/>
      <c r="L74" s="317" t="s">
        <v>131</v>
      </c>
      <c r="M74" s="312" t="s">
        <v>117</v>
      </c>
    </row>
    <row r="75" spans="1:13" s="145" customFormat="1" outlineLevel="1">
      <c r="A75" s="31" t="s">
        <v>132</v>
      </c>
      <c r="B75" s="111"/>
      <c r="C75" s="19" t="s">
        <v>101</v>
      </c>
      <c r="D75" s="296" t="str">
        <f>IF(B75="","",VLOOKUP(C75,'Pick lists'!B24:C25,2,FALSE))</f>
        <v/>
      </c>
      <c r="E75" s="113" t="str">
        <f>IF(B75=0,"",B75*D75)</f>
        <v/>
      </c>
      <c r="F75" s="119"/>
      <c r="G75" s="35" t="str">
        <f t="shared" ref="G75:G77" si="2">IF(B75=0,"",E75*F75)</f>
        <v/>
      </c>
      <c r="H75" s="42" t="str">
        <f>IF(B75="","",VLOOKUP(C75,'Pick lists'!B23:E24,4,FALSE))</f>
        <v/>
      </c>
      <c r="I75" s="455"/>
      <c r="J75" s="456"/>
      <c r="K75" s="456"/>
      <c r="L75" s="317"/>
      <c r="M75" s="312" t="s">
        <v>117</v>
      </c>
    </row>
    <row r="76" spans="1:13" s="145" customFormat="1" outlineLevel="1">
      <c r="A76" s="31" t="s">
        <v>133</v>
      </c>
      <c r="B76" s="111"/>
      <c r="C76" s="50" t="s">
        <v>125</v>
      </c>
      <c r="D76" s="296" t="str">
        <f>IF(B76="","",VLOOKUP(C76,'Pick lists'!B25:C27,2,FALSE))</f>
        <v/>
      </c>
      <c r="E76" s="113" t="str">
        <f>IF(B76=0,"",B76*D76)</f>
        <v/>
      </c>
      <c r="F76" s="119"/>
      <c r="G76" s="35" t="str">
        <f t="shared" si="2"/>
        <v/>
      </c>
      <c r="H76" s="42" t="str">
        <f>IF(B76="","",VLOOKUP(C76,'Pick lists'!B25:E27,4,FALSE))</f>
        <v/>
      </c>
      <c r="I76" s="455"/>
      <c r="J76" s="456"/>
      <c r="K76" s="456"/>
      <c r="L76" s="317"/>
      <c r="M76" s="312" t="s">
        <v>117</v>
      </c>
    </row>
    <row r="77" spans="1:13" s="145" customFormat="1" outlineLevel="1">
      <c r="A77" s="32" t="s">
        <v>40</v>
      </c>
      <c r="B77" s="111"/>
      <c r="C77" s="50"/>
      <c r="D77" s="51"/>
      <c r="E77" s="196"/>
      <c r="F77" s="119"/>
      <c r="G77" s="35" t="str">
        <f t="shared" si="2"/>
        <v/>
      </c>
      <c r="H77" s="215"/>
      <c r="I77" s="455"/>
      <c r="J77" s="456"/>
      <c r="K77" s="456"/>
      <c r="L77" s="317"/>
      <c r="M77" s="312" t="s">
        <v>117</v>
      </c>
    </row>
    <row r="78" spans="1:13" s="145" customFormat="1" ht="15.95" outlineLevel="1" thickBot="1">
      <c r="A78" s="53"/>
      <c r="B78" s="121"/>
      <c r="C78" s="55"/>
      <c r="D78" s="56"/>
      <c r="E78" s="216" t="str">
        <f>IF(B78=0,"",B78*D78)</f>
        <v/>
      </c>
      <c r="F78" s="120"/>
      <c r="G78" s="57" t="str">
        <f>IF(B78=0,"",E78*F78)</f>
        <v/>
      </c>
      <c r="H78" s="217"/>
      <c r="I78" s="457"/>
      <c r="J78" s="458"/>
      <c r="K78" s="458"/>
      <c r="L78" s="317"/>
      <c r="M78" s="312" t="s">
        <v>117</v>
      </c>
    </row>
    <row r="79" spans="1:13" s="145" customFormat="1" ht="20.100000000000001" customHeight="1" outlineLevel="1" thickBot="1">
      <c r="A79" s="164"/>
      <c r="B79" s="449" t="s">
        <v>134</v>
      </c>
      <c r="C79" s="449"/>
      <c r="D79" s="450"/>
      <c r="E79" s="199">
        <f>SUM(E66:E78)</f>
        <v>0</v>
      </c>
      <c r="F79" s="218"/>
      <c r="G79" s="300">
        <f>SUM(G74:G78)</f>
        <v>0</v>
      </c>
      <c r="H79" s="219"/>
      <c r="I79" s="144"/>
      <c r="J79" s="144"/>
      <c r="K79" s="144"/>
      <c r="L79" s="317"/>
      <c r="M79" s="312" t="s">
        <v>117</v>
      </c>
    </row>
    <row r="80" spans="1:13" s="145" customFormat="1" ht="18" customHeight="1" outlineLevel="1" thickBot="1">
      <c r="A80" s="220"/>
      <c r="B80" s="449" t="s">
        <v>135</v>
      </c>
      <c r="C80" s="449"/>
      <c r="D80" s="450"/>
      <c r="E80" s="221"/>
      <c r="F80" s="222"/>
      <c r="G80" s="301"/>
      <c r="H80" s="302">
        <f>SUMPRODUCT(B74:B78,H74:H78,F74:F78)</f>
        <v>0</v>
      </c>
      <c r="I80" s="144"/>
      <c r="J80" s="144"/>
      <c r="K80" s="144"/>
      <c r="L80" s="317"/>
      <c r="M80" s="312" t="s">
        <v>117</v>
      </c>
    </row>
    <row r="81" spans="1:13" s="145" customFormat="1" ht="23.1" customHeight="1" outlineLevel="1">
      <c r="A81" s="144"/>
      <c r="B81" s="144"/>
      <c r="C81" s="144"/>
      <c r="D81" s="144"/>
      <c r="E81" s="144"/>
      <c r="F81" s="144"/>
      <c r="G81" s="144"/>
      <c r="H81" s="144"/>
      <c r="I81" s="144"/>
      <c r="J81" s="144"/>
      <c r="K81" s="144"/>
      <c r="L81" s="314"/>
      <c r="M81" s="312" t="s">
        <v>117</v>
      </c>
    </row>
    <row r="82" spans="1:13" s="145" customFormat="1" ht="33" customHeight="1" outlineLevel="1" thickBot="1">
      <c r="A82" s="579" t="s">
        <v>136</v>
      </c>
      <c r="B82" s="579"/>
      <c r="C82" s="579"/>
      <c r="D82" s="579"/>
      <c r="E82" s="579"/>
      <c r="F82" s="579"/>
      <c r="G82" s="579"/>
      <c r="H82" s="579"/>
      <c r="I82" s="579"/>
      <c r="J82" s="579"/>
      <c r="K82" s="579"/>
      <c r="L82" s="311" t="s">
        <v>22</v>
      </c>
      <c r="M82" s="312" t="s">
        <v>137</v>
      </c>
    </row>
    <row r="83" spans="1:13" s="145" customFormat="1" ht="90.95" customHeight="1" outlineLevel="1" thickBot="1">
      <c r="A83" s="223" t="s">
        <v>138</v>
      </c>
      <c r="B83" s="223" t="s">
        <v>139</v>
      </c>
      <c r="C83" s="223" t="s">
        <v>140</v>
      </c>
      <c r="D83" s="223" t="s">
        <v>141</v>
      </c>
      <c r="E83" s="223" t="s">
        <v>53</v>
      </c>
      <c r="F83" s="223" t="s">
        <v>142</v>
      </c>
      <c r="G83" s="223" t="s">
        <v>143</v>
      </c>
      <c r="H83" s="223" t="s">
        <v>97</v>
      </c>
      <c r="I83" s="223" t="s">
        <v>144</v>
      </c>
      <c r="J83" s="223" t="s">
        <v>145</v>
      </c>
      <c r="K83" s="224" t="s">
        <v>64</v>
      </c>
      <c r="L83" s="317"/>
      <c r="M83" s="312" t="s">
        <v>137</v>
      </c>
    </row>
    <row r="84" spans="1:13" s="231" customFormat="1" ht="21" customHeight="1" outlineLevel="1">
      <c r="A84" s="225"/>
      <c r="B84" s="225"/>
      <c r="C84" s="225"/>
      <c r="D84" s="226"/>
      <c r="E84" s="225"/>
      <c r="F84" s="227"/>
      <c r="G84" s="28" t="str">
        <f>C49</f>
        <v>MWh (LHV)</v>
      </c>
      <c r="H84" s="228"/>
      <c r="I84" s="362">
        <f>H84*F84</f>
        <v>0</v>
      </c>
      <c r="J84" s="229">
        <f>I84*D49</f>
        <v>0</v>
      </c>
      <c r="K84" s="230"/>
      <c r="L84" s="317" t="s">
        <v>146</v>
      </c>
      <c r="M84" s="312" t="s">
        <v>137</v>
      </c>
    </row>
    <row r="85" spans="1:13" s="231" customFormat="1" ht="21" customHeight="1">
      <c r="A85" s="232"/>
      <c r="B85" s="232"/>
      <c r="C85" s="232"/>
      <c r="D85" s="233"/>
      <c r="E85" s="232"/>
      <c r="F85" s="232"/>
      <c r="G85" s="25"/>
      <c r="H85" s="234"/>
      <c r="I85" s="233"/>
      <c r="J85" s="232"/>
      <c r="K85" s="232"/>
      <c r="L85" s="314"/>
      <c r="M85" s="312" t="s">
        <v>137</v>
      </c>
    </row>
    <row r="86" spans="1:13" s="145" customFormat="1" ht="19.7" customHeight="1" outlineLevel="1">
      <c r="A86" s="146" t="s">
        <v>147</v>
      </c>
      <c r="B86" s="147"/>
      <c r="C86" s="147"/>
      <c r="D86" s="147"/>
      <c r="E86" s="206"/>
      <c r="F86" s="147"/>
      <c r="G86" s="147"/>
      <c r="H86" s="207"/>
      <c r="I86" s="510"/>
      <c r="J86" s="510"/>
      <c r="K86" s="510"/>
      <c r="L86" s="311" t="s">
        <v>22</v>
      </c>
      <c r="M86" s="312" t="s">
        <v>148</v>
      </c>
    </row>
    <row r="87" spans="1:13" s="145" customFormat="1" ht="62.1" customHeight="1" outlineLevel="1" thickBot="1">
      <c r="A87" s="165" t="s">
        <v>149</v>
      </c>
      <c r="B87" s="235" t="s">
        <v>150</v>
      </c>
      <c r="C87" s="235" t="s">
        <v>151</v>
      </c>
      <c r="D87" s="235" t="s">
        <v>152</v>
      </c>
      <c r="E87" s="236" t="s">
        <v>53</v>
      </c>
      <c r="F87" s="235" t="s">
        <v>153</v>
      </c>
      <c r="G87" s="235" t="s">
        <v>97</v>
      </c>
      <c r="H87" s="235" t="s">
        <v>154</v>
      </c>
      <c r="I87" s="511" t="s">
        <v>64</v>
      </c>
      <c r="J87" s="512"/>
      <c r="K87" s="512"/>
      <c r="L87" s="317"/>
      <c r="M87" s="312" t="s">
        <v>148</v>
      </c>
    </row>
    <row r="88" spans="1:13" s="238" customFormat="1" ht="34.700000000000003" customHeight="1" outlineLevel="1">
      <c r="A88" s="122"/>
      <c r="B88" s="125"/>
      <c r="C88" s="122"/>
      <c r="D88" s="125"/>
      <c r="E88" s="237"/>
      <c r="F88" s="58"/>
      <c r="G88" s="29"/>
      <c r="H88" s="292">
        <f>F88*G88</f>
        <v>0</v>
      </c>
      <c r="I88" s="513"/>
      <c r="J88" s="514"/>
      <c r="K88" s="514"/>
      <c r="L88" s="317" t="s">
        <v>155</v>
      </c>
      <c r="M88" s="312" t="s">
        <v>148</v>
      </c>
    </row>
    <row r="89" spans="1:13" s="145" customFormat="1" ht="14.1" outlineLevel="1">
      <c r="A89" s="123"/>
      <c r="B89" s="126"/>
      <c r="C89" s="126"/>
      <c r="D89" s="126"/>
      <c r="E89" s="237"/>
      <c r="F89" s="59"/>
      <c r="G89" s="20"/>
      <c r="H89" s="292">
        <f>F89*G89</f>
        <v>0</v>
      </c>
      <c r="I89" s="495"/>
      <c r="J89" s="496"/>
      <c r="K89" s="496"/>
      <c r="L89" s="317"/>
      <c r="M89" s="312" t="s">
        <v>148</v>
      </c>
    </row>
    <row r="90" spans="1:13" s="145" customFormat="1" outlineLevel="1" thickBot="1">
      <c r="A90" s="124"/>
      <c r="B90" s="127"/>
      <c r="C90" s="127"/>
      <c r="D90" s="127"/>
      <c r="E90" s="239"/>
      <c r="F90" s="54"/>
      <c r="G90" s="44"/>
      <c r="H90" s="292">
        <f>F90*G90</f>
        <v>0</v>
      </c>
      <c r="I90" s="515"/>
      <c r="J90" s="516"/>
      <c r="K90" s="516"/>
      <c r="L90" s="317"/>
      <c r="M90" s="312" t="s">
        <v>148</v>
      </c>
    </row>
    <row r="91" spans="1:13" s="145" customFormat="1" outlineLevel="1" thickBot="1">
      <c r="A91" s="240"/>
      <c r="B91" s="241"/>
      <c r="C91" s="241"/>
      <c r="D91" s="241"/>
      <c r="E91" s="242"/>
      <c r="F91" s="243">
        <f>SUM(F88:F90)</f>
        <v>0</v>
      </c>
      <c r="G91" s="244"/>
      <c r="H91" s="303">
        <f>SUM(H88:H90)</f>
        <v>0</v>
      </c>
      <c r="I91" s="201"/>
      <c r="J91" s="144"/>
      <c r="K91" s="144"/>
      <c r="L91" s="317"/>
      <c r="M91" s="312" t="s">
        <v>148</v>
      </c>
    </row>
    <row r="92" spans="1:13" s="145" customFormat="1" ht="14.1">
      <c r="A92" s="245"/>
      <c r="B92" s="246"/>
      <c r="C92" s="246"/>
      <c r="D92" s="246"/>
      <c r="E92" s="247"/>
      <c r="F92" s="205"/>
      <c r="G92" s="248"/>
      <c r="H92" s="249"/>
      <c r="I92" s="144"/>
      <c r="J92" s="144"/>
      <c r="K92" s="144"/>
      <c r="L92" s="314"/>
      <c r="M92" s="312" t="s">
        <v>148</v>
      </c>
    </row>
    <row r="93" spans="1:13" s="145" customFormat="1" ht="42" customHeight="1" outlineLevel="1">
      <c r="A93" s="576" t="s">
        <v>156</v>
      </c>
      <c r="B93" s="576"/>
      <c r="C93" s="576"/>
      <c r="D93" s="576"/>
      <c r="E93" s="576"/>
      <c r="F93" s="576"/>
      <c r="G93" s="576"/>
      <c r="H93" s="576"/>
      <c r="I93" s="576"/>
      <c r="J93" s="576"/>
      <c r="K93" s="576"/>
      <c r="L93" s="311" t="s">
        <v>22</v>
      </c>
      <c r="M93" s="312" t="s">
        <v>157</v>
      </c>
    </row>
    <row r="94" spans="1:13" s="145" customFormat="1" ht="57.95" customHeight="1" outlineLevel="1">
      <c r="A94" s="250" t="s">
        <v>158</v>
      </c>
      <c r="B94" s="250" t="s">
        <v>159</v>
      </c>
      <c r="C94" s="251" t="s">
        <v>160</v>
      </c>
      <c r="D94" s="251" t="s">
        <v>85</v>
      </c>
      <c r="E94" s="251" t="s">
        <v>161</v>
      </c>
      <c r="F94" s="577" t="s">
        <v>162</v>
      </c>
      <c r="G94" s="578"/>
      <c r="H94" s="578"/>
      <c r="I94" s="578"/>
      <c r="J94" s="578"/>
      <c r="K94" s="578"/>
      <c r="L94" s="317"/>
      <c r="M94" s="312" t="s">
        <v>157</v>
      </c>
    </row>
    <row r="95" spans="1:13" s="145" customFormat="1" ht="50.1" customHeight="1" outlineLevel="1">
      <c r="A95" s="252"/>
      <c r="B95" s="253"/>
      <c r="C95" s="19"/>
      <c r="D95" s="254" t="s">
        <v>10</v>
      </c>
      <c r="E95" s="304">
        <f>IF(B95="",0,IF((B95/C95)&lt;0.2,B95/C95,0.2))</f>
        <v>0</v>
      </c>
      <c r="F95" s="508"/>
      <c r="G95" s="509"/>
      <c r="H95" s="509"/>
      <c r="I95" s="509"/>
      <c r="J95" s="509"/>
      <c r="K95" s="509"/>
      <c r="L95" s="313" t="s">
        <v>163</v>
      </c>
      <c r="M95" s="312" t="s">
        <v>157</v>
      </c>
    </row>
    <row r="96" spans="1:13" s="145" customFormat="1" ht="14.1">
      <c r="A96" s="255"/>
      <c r="B96" s="256"/>
      <c r="C96" s="203"/>
      <c r="D96" s="17"/>
      <c r="E96" s="257"/>
      <c r="F96" s="258"/>
      <c r="G96" s="258"/>
      <c r="H96" s="258"/>
      <c r="I96" s="258"/>
      <c r="J96" s="258"/>
      <c r="K96" s="258"/>
      <c r="L96" s="443"/>
      <c r="M96" s="312" t="s">
        <v>157</v>
      </c>
    </row>
    <row r="97" spans="1:13" s="145" customFormat="1" ht="14.1">
      <c r="A97" s="245"/>
      <c r="B97" s="246"/>
      <c r="C97" s="246"/>
      <c r="D97" s="246"/>
      <c r="E97" s="247"/>
      <c r="F97" s="205"/>
      <c r="G97" s="248"/>
      <c r="H97" s="259"/>
      <c r="I97" s="144"/>
      <c r="J97" s="144"/>
      <c r="K97" s="144"/>
      <c r="L97" s="314"/>
      <c r="M97" s="312" t="s">
        <v>164</v>
      </c>
    </row>
    <row r="98" spans="1:13" s="145" customFormat="1" ht="14.1">
      <c r="A98" s="260" t="s">
        <v>165</v>
      </c>
      <c r="B98" s="261"/>
      <c r="C98" s="261"/>
      <c r="D98" s="261"/>
      <c r="E98" s="247"/>
      <c r="F98" s="260" t="s">
        <v>166</v>
      </c>
      <c r="G98" s="262"/>
      <c r="H98" s="262"/>
      <c r="I98" s="262"/>
      <c r="J98" s="262"/>
      <c r="K98" s="386"/>
      <c r="L98" s="314"/>
      <c r="M98" s="312" t="s">
        <v>164</v>
      </c>
    </row>
    <row r="99" spans="1:13" s="145" customFormat="1">
      <c r="A99" s="263" t="s">
        <v>167</v>
      </c>
      <c r="B99" s="264"/>
      <c r="C99" s="264"/>
      <c r="D99" s="264"/>
      <c r="E99" s="144"/>
      <c r="F99" s="264" t="s">
        <v>168</v>
      </c>
      <c r="G99" s="264"/>
      <c r="H99" s="264"/>
      <c r="I99" s="264"/>
      <c r="J99" s="264"/>
      <c r="K99" s="387"/>
      <c r="L99" s="314"/>
      <c r="M99" s="312" t="s">
        <v>164</v>
      </c>
    </row>
    <row r="100" spans="1:13" s="145" customFormat="1" ht="15.95" thickBot="1">
      <c r="A100" s="265" t="s">
        <v>169</v>
      </c>
      <c r="B100" s="266"/>
      <c r="C100" s="266"/>
      <c r="D100" s="305">
        <f>E22</f>
        <v>0</v>
      </c>
      <c r="E100" s="144"/>
      <c r="F100" s="531" t="s">
        <v>170</v>
      </c>
      <c r="G100" s="531"/>
      <c r="H100" s="531"/>
      <c r="I100" s="531"/>
      <c r="J100" s="531"/>
      <c r="K100" s="309">
        <f>IF(G33="Yes",G39,0)</f>
        <v>0</v>
      </c>
      <c r="L100" s="314"/>
      <c r="M100" s="312" t="s">
        <v>164</v>
      </c>
    </row>
    <row r="101" spans="1:13" s="145" customFormat="1" ht="27" customHeight="1">
      <c r="A101" s="22" t="s">
        <v>171</v>
      </c>
      <c r="B101" s="150"/>
      <c r="C101" s="150"/>
      <c r="D101" s="306">
        <f>G16</f>
        <v>0</v>
      </c>
      <c r="E101" s="144"/>
      <c r="F101" s="466" t="s">
        <v>172</v>
      </c>
      <c r="G101" s="465"/>
      <c r="H101" s="465"/>
      <c r="I101" s="465"/>
      <c r="J101" s="465"/>
      <c r="K101" s="388">
        <f>G56</f>
        <v>0</v>
      </c>
      <c r="L101" s="314"/>
      <c r="M101" s="312" t="s">
        <v>164</v>
      </c>
    </row>
    <row r="102" spans="1:13" s="145" customFormat="1" ht="26.1" customHeight="1">
      <c r="A102" s="150" t="s">
        <v>173</v>
      </c>
      <c r="B102" s="150"/>
      <c r="C102" s="150"/>
      <c r="D102" s="306">
        <f>G17</f>
        <v>0</v>
      </c>
      <c r="E102" s="144"/>
      <c r="F102" s="460" t="s">
        <v>174</v>
      </c>
      <c r="G102" s="460"/>
      <c r="H102" s="460"/>
      <c r="I102" s="460"/>
      <c r="J102" s="460"/>
      <c r="K102" s="308">
        <f>G61</f>
        <v>0</v>
      </c>
      <c r="L102" s="314"/>
      <c r="M102" s="312" t="s">
        <v>164</v>
      </c>
    </row>
    <row r="103" spans="1:13" s="145" customFormat="1" ht="14.1">
      <c r="A103" s="150" t="s">
        <v>175</v>
      </c>
      <c r="B103" s="150"/>
      <c r="C103" s="150"/>
      <c r="D103" s="306">
        <f>G18</f>
        <v>0</v>
      </c>
      <c r="E103" s="144"/>
      <c r="F103" s="530" t="s">
        <v>176</v>
      </c>
      <c r="G103" s="530"/>
      <c r="H103" s="530"/>
      <c r="I103" s="530"/>
      <c r="J103" s="530"/>
      <c r="K103" s="389">
        <f>G71</f>
        <v>0</v>
      </c>
      <c r="L103" s="314"/>
      <c r="M103" s="312" t="s">
        <v>164</v>
      </c>
    </row>
    <row r="104" spans="1:13" s="145" customFormat="1" thickBot="1">
      <c r="A104" s="150" t="s">
        <v>177</v>
      </c>
      <c r="B104" s="150"/>
      <c r="C104" s="150"/>
      <c r="D104" s="306">
        <f>G19</f>
        <v>0</v>
      </c>
      <c r="E104" s="144"/>
      <c r="F104" s="531" t="s">
        <v>178</v>
      </c>
      <c r="G104" s="531"/>
      <c r="H104" s="531"/>
      <c r="I104" s="531"/>
      <c r="J104" s="531"/>
      <c r="K104" s="358">
        <f>G79</f>
        <v>0</v>
      </c>
      <c r="L104" s="314"/>
      <c r="M104" s="312" t="s">
        <v>164</v>
      </c>
    </row>
    <row r="105" spans="1:13" s="145" customFormat="1" thickBot="1">
      <c r="A105" s="150" t="s">
        <v>179</v>
      </c>
      <c r="B105" s="150"/>
      <c r="C105" s="150"/>
      <c r="D105" s="306">
        <f>H28</f>
        <v>0</v>
      </c>
      <c r="E105" s="144"/>
      <c r="F105" s="357" t="s">
        <v>180</v>
      </c>
      <c r="G105" s="357"/>
      <c r="H105" s="357"/>
      <c r="I105" s="357"/>
      <c r="J105" s="357"/>
      <c r="K105" s="356">
        <f>SUM(K101:K104)</f>
        <v>0</v>
      </c>
      <c r="L105" s="314"/>
      <c r="M105" s="312" t="s">
        <v>164</v>
      </c>
    </row>
    <row r="106" spans="1:13" s="145" customFormat="1" ht="33" customHeight="1" thickBot="1">
      <c r="A106" s="460" t="s">
        <v>181</v>
      </c>
      <c r="B106" s="460"/>
      <c r="C106" s="150"/>
      <c r="D106" s="306">
        <f>H29</f>
        <v>0</v>
      </c>
      <c r="E106" s="144"/>
      <c r="F106" s="595" t="s">
        <v>182</v>
      </c>
      <c r="G106" s="595"/>
      <c r="H106" s="595"/>
      <c r="I106" s="595"/>
      <c r="J106" s="595"/>
      <c r="K106" s="356">
        <f>SUM(K100:K104)</f>
        <v>0</v>
      </c>
      <c r="L106" s="314"/>
      <c r="M106" s="312" t="s">
        <v>164</v>
      </c>
    </row>
    <row r="107" spans="1:13" s="145" customFormat="1" ht="14.1">
      <c r="A107" s="267" t="s">
        <v>183</v>
      </c>
      <c r="B107" s="267"/>
      <c r="C107" s="267"/>
      <c r="D107" s="307">
        <f>SUM(D101:D106)</f>
        <v>0</v>
      </c>
      <c r="E107" s="16"/>
      <c r="F107" s="529" t="s">
        <v>184</v>
      </c>
      <c r="G107" s="529"/>
      <c r="H107" s="529"/>
      <c r="I107" s="529"/>
      <c r="J107" s="529"/>
      <c r="K107" s="390">
        <f>H80</f>
        <v>0</v>
      </c>
      <c r="L107" s="314"/>
      <c r="M107" s="312" t="s">
        <v>164</v>
      </c>
    </row>
    <row r="108" spans="1:13" s="145" customFormat="1" ht="14.1" customHeight="1">
      <c r="A108" s="151"/>
      <c r="B108" s="151"/>
      <c r="C108" s="151"/>
      <c r="D108" s="249"/>
      <c r="E108" s="16"/>
      <c r="F108" s="530" t="s">
        <v>185</v>
      </c>
      <c r="G108" s="530"/>
      <c r="H108" s="530"/>
      <c r="I108" s="530"/>
      <c r="J108" s="530"/>
      <c r="K108" s="391">
        <f>J84</f>
        <v>0</v>
      </c>
      <c r="L108" s="314"/>
      <c r="M108" s="312" t="s">
        <v>164</v>
      </c>
    </row>
    <row r="109" spans="1:13" s="145" customFormat="1" ht="14.1">
      <c r="A109" s="151"/>
      <c r="B109" s="151"/>
      <c r="C109" s="151"/>
      <c r="D109" s="249"/>
      <c r="E109" s="16"/>
      <c r="F109" s="530" t="s">
        <v>186</v>
      </c>
      <c r="G109" s="530"/>
      <c r="H109" s="530"/>
      <c r="I109" s="530"/>
      <c r="J109" s="530"/>
      <c r="K109" s="392">
        <f>H91</f>
        <v>0</v>
      </c>
      <c r="L109" s="314"/>
      <c r="M109" s="312" t="s">
        <v>164</v>
      </c>
    </row>
    <row r="110" spans="1:13" s="145" customFormat="1" ht="14.1">
      <c r="A110" s="151"/>
      <c r="B110" s="151"/>
      <c r="C110" s="151"/>
      <c r="D110" s="249"/>
      <c r="E110" s="16"/>
      <c r="F110" s="363"/>
      <c r="G110" s="363"/>
      <c r="H110" s="363"/>
      <c r="I110" s="363"/>
      <c r="J110" s="363"/>
      <c r="K110" s="393"/>
      <c r="L110" s="314"/>
      <c r="M110" s="312"/>
    </row>
    <row r="111" spans="1:13" s="145" customFormat="1" ht="12.95" customHeight="1">
      <c r="A111" s="144"/>
      <c r="B111" s="144"/>
      <c r="C111" s="144"/>
      <c r="D111" s="394"/>
      <c r="E111" s="16"/>
      <c r="F111" s="144"/>
      <c r="G111" s="144"/>
      <c r="H111" s="144"/>
      <c r="I111" s="144"/>
      <c r="J111" s="144"/>
      <c r="K111" s="148"/>
      <c r="L111" s="314"/>
      <c r="M111" s="312" t="s">
        <v>164</v>
      </c>
    </row>
    <row r="112" spans="1:13" s="145" customFormat="1" ht="17.100000000000001" customHeight="1">
      <c r="A112" s="395" t="s">
        <v>187</v>
      </c>
      <c r="B112" s="396"/>
      <c r="C112" s="396"/>
      <c r="D112" s="397"/>
      <c r="E112" s="398"/>
      <c r="F112" s="396"/>
      <c r="G112" s="396"/>
      <c r="H112" s="395"/>
      <c r="I112" s="399"/>
      <c r="J112" s="400" t="s">
        <v>188</v>
      </c>
      <c r="K112" s="416" t="s">
        <v>189</v>
      </c>
      <c r="L112" s="314"/>
      <c r="M112" s="312" t="s">
        <v>190</v>
      </c>
    </row>
    <row r="113" spans="1:13" s="382" customFormat="1" ht="21" customHeight="1" thickBot="1">
      <c r="A113" s="418"/>
      <c r="B113" s="419"/>
      <c r="C113" s="418" t="s">
        <v>191</v>
      </c>
      <c r="D113" s="420" t="e">
        <f>VLOOKUP(K112,A126:B129,2,FALSE)</f>
        <v>#N/A</v>
      </c>
      <c r="E113" s="421"/>
      <c r="F113" s="422"/>
      <c r="G113" s="423"/>
      <c r="H113" s="423"/>
      <c r="I113" s="423"/>
      <c r="J113" s="424" t="s">
        <v>192</v>
      </c>
      <c r="K113" s="425" t="e">
        <f>VLOOKUP(K112,F126:K129,5,FALSE)</f>
        <v>#N/A</v>
      </c>
      <c r="L113" s="384"/>
      <c r="M113" s="312" t="s">
        <v>190</v>
      </c>
    </row>
    <row r="114" spans="1:13" s="145" customFormat="1" ht="18" customHeight="1" thickBot="1">
      <c r="A114" s="268" t="s">
        <v>193</v>
      </c>
      <c r="B114" s="268"/>
      <c r="C114" s="269" t="s">
        <v>194</v>
      </c>
      <c r="D114" s="269" t="s">
        <v>195</v>
      </c>
      <c r="E114" s="16"/>
      <c r="F114" s="401"/>
      <c r="G114" s="401"/>
      <c r="H114" s="401"/>
      <c r="I114" s="401"/>
      <c r="J114" s="401"/>
      <c r="K114" s="375"/>
      <c r="L114" s="314"/>
      <c r="M114" s="312" t="s">
        <v>190</v>
      </c>
    </row>
    <row r="115" spans="1:13" s="145" customFormat="1" ht="15.95" customHeight="1">
      <c r="A115" s="574" t="s">
        <v>196</v>
      </c>
      <c r="B115" s="574"/>
      <c r="C115" s="377">
        <f>IF(D100=0,0,((D107/D100)))</f>
        <v>0</v>
      </c>
      <c r="D115" s="378" t="e">
        <f>VLOOKUP(K112,'Pick lists'!T5:Z8,2,FALSE)</f>
        <v>#N/A</v>
      </c>
      <c r="E115" s="16"/>
      <c r="F115" s="363"/>
      <c r="G115" s="151"/>
      <c r="H115" s="151"/>
      <c r="I115" s="151"/>
      <c r="J115" s="374"/>
      <c r="K115" s="376"/>
      <c r="L115" s="385"/>
      <c r="M115" s="312" t="s">
        <v>190</v>
      </c>
    </row>
    <row r="116" spans="1:13" s="145" customFormat="1" ht="33" customHeight="1">
      <c r="A116" s="575" t="s">
        <v>197</v>
      </c>
      <c r="B116" s="575"/>
      <c r="C116" s="379">
        <f>IF(G23="yes",1,0)</f>
        <v>0</v>
      </c>
      <c r="D116" s="380" t="e">
        <f>VLOOKUP(K112,'Pick lists'!T5:Z8,3,FALSE)</f>
        <v>#N/A</v>
      </c>
      <c r="E116" s="447"/>
      <c r="F116" s="144"/>
      <c r="G116" s="144"/>
      <c r="H116" s="144"/>
      <c r="I116" s="144"/>
      <c r="J116" s="369"/>
      <c r="K116" s="371"/>
      <c r="L116" s="314"/>
      <c r="M116" s="312" t="s">
        <v>190</v>
      </c>
    </row>
    <row r="117" spans="1:13" s="145" customFormat="1" ht="23.25" customHeight="1">
      <c r="A117" s="476" t="s">
        <v>198</v>
      </c>
      <c r="B117" s="476"/>
      <c r="C117" s="379">
        <f>IF(D100=0,0,((D103+D104+D106)/D100))</f>
        <v>0</v>
      </c>
      <c r="D117" s="381" t="e">
        <f>VLOOKUP(K112,'Pick lists'!T5:Z8,4,FALSE)</f>
        <v>#N/A</v>
      </c>
      <c r="E117" s="164"/>
      <c r="F117" s="363"/>
      <c r="G117" s="151"/>
      <c r="H117" s="151"/>
      <c r="I117" s="151"/>
      <c r="J117" s="370"/>
      <c r="K117" s="372"/>
      <c r="L117" s="314"/>
      <c r="M117" s="312" t="s">
        <v>190</v>
      </c>
    </row>
    <row r="118" spans="1:13" s="145" customFormat="1" ht="14.1">
      <c r="A118" s="402"/>
      <c r="B118" s="151"/>
      <c r="C118" s="270"/>
      <c r="D118" s="270"/>
      <c r="E118" s="164"/>
      <c r="F118" s="144"/>
      <c r="G118" s="144"/>
      <c r="H118" s="144"/>
      <c r="I118" s="144"/>
      <c r="J118" s="144"/>
      <c r="K118" s="148"/>
      <c r="L118" s="314"/>
      <c r="M118" s="312" t="s">
        <v>190</v>
      </c>
    </row>
    <row r="119" spans="1:13" s="145" customFormat="1" thickBot="1">
      <c r="A119" s="271" t="s">
        <v>199</v>
      </c>
      <c r="B119" s="272"/>
      <c r="C119" s="272"/>
      <c r="D119" s="272"/>
      <c r="E119" s="16"/>
      <c r="F119" s="271" t="s">
        <v>199</v>
      </c>
      <c r="G119" s="272"/>
      <c r="H119" s="272"/>
      <c r="I119" s="272"/>
      <c r="J119" s="272"/>
      <c r="K119" s="403"/>
      <c r="L119" s="314"/>
      <c r="M119" s="312" t="s">
        <v>190</v>
      </c>
    </row>
    <row r="120" spans="1:13" s="145" customFormat="1" ht="15.95" customHeight="1">
      <c r="A120" s="273" t="s">
        <v>200</v>
      </c>
      <c r="B120" s="273"/>
      <c r="C120" s="310">
        <f>E43</f>
        <v>0</v>
      </c>
      <c r="D120" s="144"/>
      <c r="E120" s="16"/>
      <c r="F120" s="273" t="s">
        <v>201</v>
      </c>
      <c r="G120" s="273"/>
      <c r="H120" s="273"/>
      <c r="I120" s="273"/>
      <c r="J120" s="310">
        <f>E95</f>
        <v>0</v>
      </c>
      <c r="K120" s="448"/>
      <c r="L120" s="517"/>
      <c r="M120" s="312" t="s">
        <v>190</v>
      </c>
    </row>
    <row r="121" spans="1:13" s="145" customFormat="1" ht="21.95" customHeight="1">
      <c r="A121" s="150" t="s">
        <v>202</v>
      </c>
      <c r="B121" s="150"/>
      <c r="C121" s="274">
        <v>0</v>
      </c>
      <c r="D121" s="144"/>
      <c r="E121" s="16"/>
      <c r="F121" s="150" t="s">
        <v>202</v>
      </c>
      <c r="G121" s="150"/>
      <c r="H121" s="150"/>
      <c r="I121" s="275"/>
      <c r="J121" s="274">
        <v>0</v>
      </c>
      <c r="K121" s="404"/>
      <c r="L121" s="517"/>
      <c r="M121" s="312" t="s">
        <v>190</v>
      </c>
    </row>
    <row r="122" spans="1:13" s="145" customFormat="1" ht="33.950000000000003" customHeight="1">
      <c r="A122" s="556" t="s">
        <v>203</v>
      </c>
      <c r="B122" s="556"/>
      <c r="C122" s="556"/>
      <c r="D122" s="556"/>
      <c r="E122" s="557"/>
      <c r="F122" s="557"/>
      <c r="G122" s="557"/>
      <c r="H122" s="557"/>
      <c r="I122" s="557"/>
      <c r="J122" s="557"/>
      <c r="K122" s="558"/>
      <c r="L122" s="517"/>
      <c r="M122" s="312" t="s">
        <v>190</v>
      </c>
    </row>
    <row r="123" spans="1:13">
      <c r="A123" s="364"/>
      <c r="B123" s="365"/>
      <c r="C123" s="365"/>
      <c r="D123" s="365"/>
      <c r="E123" s="365"/>
      <c r="F123" s="365"/>
      <c r="G123" s="365"/>
      <c r="H123" s="365"/>
      <c r="I123" s="365"/>
      <c r="J123" s="405"/>
      <c r="K123" s="366"/>
      <c r="L123" s="320"/>
      <c r="M123" s="312" t="s">
        <v>190</v>
      </c>
    </row>
    <row r="124" spans="1:13" ht="33.950000000000003" customHeight="1">
      <c r="A124" s="559" t="s">
        <v>204</v>
      </c>
      <c r="B124" s="559"/>
      <c r="C124" s="559"/>
      <c r="D124" s="559"/>
      <c r="E124" s="559"/>
      <c r="F124" s="559"/>
      <c r="G124" s="559"/>
      <c r="H124" s="559"/>
      <c r="I124" s="355"/>
      <c r="J124" s="355"/>
      <c r="K124" s="367"/>
      <c r="L124" s="365"/>
      <c r="M124" s="312" t="s">
        <v>190</v>
      </c>
    </row>
    <row r="125" spans="1:13" ht="78" customHeight="1">
      <c r="A125" s="373" t="s">
        <v>205</v>
      </c>
      <c r="B125" s="373" t="s">
        <v>206</v>
      </c>
      <c r="C125" s="365"/>
      <c r="D125" s="365"/>
      <c r="E125" s="365"/>
      <c r="F125" s="373" t="s">
        <v>207</v>
      </c>
      <c r="G125" s="373" t="s">
        <v>208</v>
      </c>
      <c r="H125" s="373" t="s">
        <v>209</v>
      </c>
      <c r="I125" s="373" t="s">
        <v>210</v>
      </c>
      <c r="J125" s="373" t="s">
        <v>211</v>
      </c>
      <c r="K125" s="373" t="s">
        <v>212</v>
      </c>
      <c r="L125" s="365"/>
      <c r="M125" s="312" t="s">
        <v>190</v>
      </c>
    </row>
    <row r="126" spans="1:13" s="211" customFormat="1" ht="12.95">
      <c r="A126" s="435" t="s">
        <v>213</v>
      </c>
      <c r="B126" s="426" t="str">
        <f>IF(K112&lt;&gt;"Bronze","",IF($C$115&gt;=$D$115,"YES",IF($C$116=1,"YES","NO")))</f>
        <v/>
      </c>
      <c r="C126" s="427"/>
      <c r="D126" s="427"/>
      <c r="E126" s="427"/>
      <c r="F126" s="435" t="s">
        <v>213</v>
      </c>
      <c r="G126" s="431">
        <f>(0.05*K100)</f>
        <v>0</v>
      </c>
      <c r="H126" s="431">
        <f>IF(((SUM($K$101:$K$104)*0.05)-$K$107-$K$108)&lt;0,0,(SUM($K$101:$K$104)*0.05)-$K$107-$K$108)</f>
        <v>0</v>
      </c>
      <c r="I126" s="431">
        <f>G126+H126</f>
        <v>0</v>
      </c>
      <c r="J126" s="432" t="str">
        <f>IF($K$109&gt;=I126,"YES", "NO")</f>
        <v>YES</v>
      </c>
      <c r="K126" s="433">
        <f>IF(J126="No","none",$K$109-$I126)</f>
        <v>0</v>
      </c>
      <c r="L126" s="144"/>
      <c r="M126" s="312" t="s">
        <v>190</v>
      </c>
    </row>
    <row r="127" spans="1:13" s="211" customFormat="1" ht="12.95">
      <c r="A127" s="435" t="s">
        <v>214</v>
      </c>
      <c r="B127" s="426" t="str">
        <f>IF(K112&lt;&gt;"Silver","",IF($C$115&gt;=$D$115,"YES",IF($C$116=1,"YES","NO")))</f>
        <v/>
      </c>
      <c r="C127" s="428"/>
      <c r="D127" s="427"/>
      <c r="E127" s="427"/>
      <c r="F127" s="435" t="s">
        <v>214</v>
      </c>
      <c r="G127" s="431">
        <f>0.2*K100</f>
        <v>0</v>
      </c>
      <c r="H127" s="431">
        <f>IF(((SUM($K$101:$K$104)*0.2)-$K$107-$K$108)&lt;0,0,(SUM($K$101:$K$104)*0.2)-$K$107-$K$108)</f>
        <v>0</v>
      </c>
      <c r="I127" s="431">
        <f>G127+H127</f>
        <v>0</v>
      </c>
      <c r="J127" s="432" t="str">
        <f>IF($K$109&gt;=I127,"YES", "NO")</f>
        <v>YES</v>
      </c>
      <c r="K127" s="433">
        <f>IF(J127="No","none",$K$109-$I127)</f>
        <v>0</v>
      </c>
      <c r="L127" s="144"/>
      <c r="M127" s="312" t="s">
        <v>190</v>
      </c>
    </row>
    <row r="128" spans="1:13" s="211" customFormat="1" ht="12.95">
      <c r="A128" s="435" t="s">
        <v>215</v>
      </c>
      <c r="B128" s="426" t="str">
        <f>IF(K112&lt;&gt;"Gold","",IF($C$116=1,"YES",IF(AND($C$115&gt;=$D$115,C117&gt;=D117),"YES","NO")))</f>
        <v/>
      </c>
      <c r="C128" s="428"/>
      <c r="D128" s="427"/>
      <c r="E128" s="427"/>
      <c r="F128" s="435" t="s">
        <v>215</v>
      </c>
      <c r="G128" s="431">
        <f>0.5*K100</f>
        <v>0</v>
      </c>
      <c r="H128" s="431">
        <f>IF(((SUM($K$101:$K$104)*0.5)-$K$107-$K$108)&lt;0,0,(SUM($K$101:$K$104)*0.5)-$K$107-$K$108)</f>
        <v>0</v>
      </c>
      <c r="I128" s="431">
        <f>G128+H128</f>
        <v>0</v>
      </c>
      <c r="J128" s="432" t="str">
        <f>IF($K$109&gt;=I128,"YES", "NO")</f>
        <v>YES</v>
      </c>
      <c r="K128" s="433">
        <f>IF(J128="No","none",$K$109-$I128)</f>
        <v>0</v>
      </c>
      <c r="L128" s="144"/>
      <c r="M128" s="312" t="s">
        <v>190</v>
      </c>
    </row>
    <row r="129" spans="1:13" s="211" customFormat="1" ht="51" customHeight="1">
      <c r="A129" s="435" t="s">
        <v>216</v>
      </c>
      <c r="B129" s="426" t="str">
        <f>IF(K112&lt;&gt;"Platinum","",IF(AND(C117=1,G24="YES"),"YES","NO"))</f>
        <v/>
      </c>
      <c r="C129" s="427"/>
      <c r="D129" s="427"/>
      <c r="E129" s="427"/>
      <c r="F129" s="435" t="s">
        <v>216</v>
      </c>
      <c r="G129" s="430" t="str">
        <f>IF(AND(K112="Platinum",K100&gt;0),"ERROR - not accepted at Platinum level","not applicable")</f>
        <v>not applicable</v>
      </c>
      <c r="H129" s="434">
        <f>IF((K101+K103)&gt;0,"ERROR - not accepted at Platinum Level",(K102+K104-K107+1))</f>
        <v>1</v>
      </c>
      <c r="I129" s="434">
        <f>H129</f>
        <v>1</v>
      </c>
      <c r="J129" s="432" t="str">
        <f>IF($K$109&gt;=I129,"YES", "NO")</f>
        <v>NO</v>
      </c>
      <c r="K129" s="433" t="str">
        <f>IF(J129="No","none",$K$109-$I129)</f>
        <v>none</v>
      </c>
      <c r="L129" s="144"/>
      <c r="M129" s="312" t="s">
        <v>190</v>
      </c>
    </row>
    <row r="130" spans="1:13">
      <c r="A130" s="364"/>
      <c r="B130" s="365"/>
      <c r="C130" s="365"/>
      <c r="D130" s="365"/>
      <c r="E130" s="365"/>
      <c r="F130" s="365"/>
      <c r="G130" s="365"/>
      <c r="H130" s="365"/>
      <c r="I130" s="365"/>
      <c r="J130" s="365"/>
      <c r="K130" s="365"/>
    </row>
    <row r="131" spans="1:13">
      <c r="B131" s="383"/>
      <c r="H131" s="437"/>
    </row>
    <row r="132" spans="1:13">
      <c r="H132" s="437"/>
    </row>
    <row r="137" spans="1:13">
      <c r="F137" s="438"/>
    </row>
    <row r="138" spans="1:13">
      <c r="F138" s="438"/>
    </row>
  </sheetData>
  <sheetProtection sheet="1" formatCells="0" formatColumns="0" formatRows="0" insertColumns="0" insertRows="0" autoFilter="0"/>
  <autoFilter ref="A12:M122" xr:uid="{335A52FE-E6ED-9645-A724-EC4E2316EBF2}">
    <filterColumn colId="0" showButton="0"/>
    <filterColumn colId="1" showButton="0"/>
    <filterColumn colId="2" showButton="0"/>
    <filterColumn colId="3" showButton="0"/>
    <filterColumn colId="4" showButton="0"/>
    <filterColumn colId="5" showButton="0"/>
  </autoFilter>
  <dataConsolidate/>
  <mergeCells count="110">
    <mergeCell ref="A122:K122"/>
    <mergeCell ref="A124:H124"/>
    <mergeCell ref="I24:K24"/>
    <mergeCell ref="B24:F24"/>
    <mergeCell ref="F43:K43"/>
    <mergeCell ref="H59:K59"/>
    <mergeCell ref="H60:K60"/>
    <mergeCell ref="I19:K19"/>
    <mergeCell ref="I23:K23"/>
    <mergeCell ref="F102:J102"/>
    <mergeCell ref="A117:B117"/>
    <mergeCell ref="A115:B115"/>
    <mergeCell ref="A116:B116"/>
    <mergeCell ref="A93:K93"/>
    <mergeCell ref="F94:K94"/>
    <mergeCell ref="A82:K82"/>
    <mergeCell ref="B35:F35"/>
    <mergeCell ref="B37:F37"/>
    <mergeCell ref="B38:F38"/>
    <mergeCell ref="I70:K70"/>
    <mergeCell ref="I74:K74"/>
    <mergeCell ref="I75:K75"/>
    <mergeCell ref="I76:K76"/>
    <mergeCell ref="B73:K73"/>
    <mergeCell ref="B10:D10"/>
    <mergeCell ref="A12:G12"/>
    <mergeCell ref="A13:K13"/>
    <mergeCell ref="A14:A15"/>
    <mergeCell ref="B14:B15"/>
    <mergeCell ref="A31:K31"/>
    <mergeCell ref="H32:K32"/>
    <mergeCell ref="C14:C15"/>
    <mergeCell ref="F14:F15"/>
    <mergeCell ref="G14:G15"/>
    <mergeCell ref="I14:K15"/>
    <mergeCell ref="E9:K10"/>
    <mergeCell ref="H14:H15"/>
    <mergeCell ref="A26:K26"/>
    <mergeCell ref="F95:K95"/>
    <mergeCell ref="B80:D80"/>
    <mergeCell ref="I86:K86"/>
    <mergeCell ref="I87:K87"/>
    <mergeCell ref="I88:K88"/>
    <mergeCell ref="I89:K89"/>
    <mergeCell ref="I90:K90"/>
    <mergeCell ref="L120:L122"/>
    <mergeCell ref="L16:L19"/>
    <mergeCell ref="L49:L61"/>
    <mergeCell ref="I16:K16"/>
    <mergeCell ref="I17:K17"/>
    <mergeCell ref="I18:K18"/>
    <mergeCell ref="I77:K77"/>
    <mergeCell ref="L66:L71"/>
    <mergeCell ref="F107:J107"/>
    <mergeCell ref="F108:J108"/>
    <mergeCell ref="F109:J109"/>
    <mergeCell ref="F100:J100"/>
    <mergeCell ref="F101:J101"/>
    <mergeCell ref="F103:J103"/>
    <mergeCell ref="F104:J104"/>
    <mergeCell ref="F106:J106"/>
    <mergeCell ref="B23:F23"/>
    <mergeCell ref="B62:D62"/>
    <mergeCell ref="I28:K28"/>
    <mergeCell ref="I29:K29"/>
    <mergeCell ref="H50:K50"/>
    <mergeCell ref="H49:K49"/>
    <mergeCell ref="B39:F39"/>
    <mergeCell ref="H51:K51"/>
    <mergeCell ref="A41:K41"/>
    <mergeCell ref="F42:K42"/>
    <mergeCell ref="A45:K45"/>
    <mergeCell ref="H52:K52"/>
    <mergeCell ref="B33:F33"/>
    <mergeCell ref="B34:F34"/>
    <mergeCell ref="B36:F36"/>
    <mergeCell ref="H53:K53"/>
    <mergeCell ref="H58:K58"/>
    <mergeCell ref="H61:K61"/>
    <mergeCell ref="H54:K54"/>
    <mergeCell ref="H55:K55"/>
    <mergeCell ref="A46:A47"/>
    <mergeCell ref="B46:B47"/>
    <mergeCell ref="C46:C47"/>
    <mergeCell ref="D46:D47"/>
    <mergeCell ref="E46:E47"/>
    <mergeCell ref="B79:D79"/>
    <mergeCell ref="I65:K65"/>
    <mergeCell ref="I66:K66"/>
    <mergeCell ref="I67:K67"/>
    <mergeCell ref="I68:K68"/>
    <mergeCell ref="I78:K78"/>
    <mergeCell ref="G8:H8"/>
    <mergeCell ref="A106:B106"/>
    <mergeCell ref="A2:K2"/>
    <mergeCell ref="A3:K3"/>
    <mergeCell ref="B5:D5"/>
    <mergeCell ref="B7:D7"/>
    <mergeCell ref="B8:D8"/>
    <mergeCell ref="H33:K33"/>
    <mergeCell ref="H36:K36"/>
    <mergeCell ref="H39:K39"/>
    <mergeCell ref="H34:K34"/>
    <mergeCell ref="I69:K69"/>
    <mergeCell ref="I27:K27"/>
    <mergeCell ref="B9:D9"/>
    <mergeCell ref="B11:D11"/>
    <mergeCell ref="D14:E14"/>
    <mergeCell ref="F46:G46"/>
    <mergeCell ref="H46:K47"/>
  </mergeCells>
  <pageMargins left="0.25" right="0.25" top="0.75" bottom="0.75" header="0.3" footer="0.3"/>
  <pageSetup scale="68" fitToHeight="3" orientation="landscape" blackAndWhite="1"/>
  <headerFooter alignWithMargins="0"/>
  <legacyDrawing r:id="rId1"/>
  <extLst>
    <ext xmlns:x14="http://schemas.microsoft.com/office/spreadsheetml/2009/9/main" uri="{CCE6A557-97BC-4b89-ADB6-D9C93CAAB3DF}">
      <x14:dataValidations xmlns:xm="http://schemas.microsoft.com/office/excel/2006/main" count="13">
        <x14:dataValidation type="list" allowBlank="1" showInputMessage="1" showErrorMessage="1" xr:uid="{39D0C1F7-9E1D-8A4C-A507-E0747B46C283}">
          <x14:formula1>
            <xm:f>'Pick lists'!$B$19:$B$20</xm:f>
          </x14:formula1>
          <xm:sqref>C52</xm:sqref>
        </x14:dataValidation>
        <x14:dataValidation type="list" allowBlank="1" showInputMessage="1" showErrorMessage="1" xr:uid="{CE08638E-E49A-1448-9DB1-C2308A13E68D}">
          <x14:formula1>
            <xm:f>'Pick lists'!$B$17:$B$18</xm:f>
          </x14:formula1>
          <xm:sqref>C51</xm:sqref>
        </x14:dataValidation>
        <x14:dataValidation type="list" allowBlank="1" showInputMessage="1" showErrorMessage="1" xr:uid="{9BB786A9-7D8B-AE43-AC33-BAD0CBE9252C}">
          <x14:formula1>
            <xm:f>'Pick lists'!$B$15:$B$16</xm:f>
          </x14:formula1>
          <xm:sqref>C50</xm:sqref>
        </x14:dataValidation>
        <x14:dataValidation type="list" allowBlank="1" showInputMessage="1" showErrorMessage="1" xr:uid="{0756E109-5977-C64D-AB0B-34F3C930BF4D}">
          <x14:formula1>
            <xm:f>'Pick lists'!$B$21:$B$22</xm:f>
          </x14:formula1>
          <xm:sqref>C66:C67 C69:C72</xm:sqref>
        </x14:dataValidation>
        <x14:dataValidation type="list" allowBlank="1" showInputMessage="1" showErrorMessage="1" xr:uid="{4FA031F2-4E9D-CC4E-8701-EA079CB15D4A}">
          <x14:formula1>
            <xm:f>'Pick lists'!$T$11:$T$13</xm:f>
          </x14:formula1>
          <xm:sqref>D95:D96 D43</xm:sqref>
        </x14:dataValidation>
        <x14:dataValidation type="list" allowBlank="1" showInputMessage="1" showErrorMessage="1" xr:uid="{BD1A37AB-052A-2D4C-BCCE-B16DB93CB690}">
          <x14:formula1>
            <xm:f>'Pick lists'!$T$4:$T$8</xm:f>
          </x14:formula1>
          <xm:sqref>K112</xm:sqref>
        </x14:dataValidation>
        <x14:dataValidation type="list" allowBlank="1" showInputMessage="1" showErrorMessage="1" xr:uid="{0133C48F-CCE9-AA45-ACA5-0231CB8DC30E}">
          <x14:formula1>
            <xm:f>'Pick lists'!$AB$4:$AB$11</xm:f>
          </x14:formula1>
          <xm:sqref>D14:E14 F46:G46</xm:sqref>
        </x14:dataValidation>
        <x14:dataValidation type="list" allowBlank="1" showErrorMessage="1" prompt="Select eGRID region if in the United States." xr:uid="{35980688-F279-9047-9030-290F0CEB0ADD}">
          <x14:formula1>
            <xm:f>'Pick lists'!$H$4:$H$31</xm:f>
          </x14:formula1>
          <xm:sqref>B10:D10</xm:sqref>
        </x14:dataValidation>
        <x14:dataValidation type="list" allowBlank="1" showInputMessage="1" showErrorMessage="1" xr:uid="{9DB0D30C-E853-1440-B913-79FB4182EDBF}">
          <x14:formula1>
            <xm:f>'Pick lists'!$T$16:$T$18</xm:f>
          </x14:formula1>
          <xm:sqref>G33 G23:G24</xm:sqref>
        </x14:dataValidation>
        <x14:dataValidation type="list" allowBlank="1" showInputMessage="1" showErrorMessage="1" xr:uid="{D1DC3938-DCE1-F843-86E2-70C91E4A251F}">
          <x14:formula1>
            <xm:f>'Pick lists'!$B$4:$B$14</xm:f>
          </x14:formula1>
          <xm:sqref>C49 G84:G85</xm:sqref>
        </x14:dataValidation>
        <x14:dataValidation type="list" allowBlank="1" showInputMessage="1" showErrorMessage="1" xr:uid="{36AAB134-C27A-8B46-B845-572C90D19607}">
          <x14:formula1>
            <xm:f>'Pick lists'!$B$25:$B$27</xm:f>
          </x14:formula1>
          <xm:sqref>C76</xm:sqref>
        </x14:dataValidation>
        <x14:dataValidation type="list" allowBlank="1" showInputMessage="1" showErrorMessage="1" xr:uid="{7F2E990F-52A6-7E48-A4EF-BD7ABB0D60EA}">
          <x14:formula1>
            <xm:f>'Pick lists'!$B$23:$B$24</xm:f>
          </x14:formula1>
          <xm:sqref>C74:C75</xm:sqref>
        </x14:dataValidation>
        <x14:dataValidation type="list" allowBlank="1" showErrorMessage="1" xr:uid="{AD00004F-60FA-F047-B189-2AD085EE4C74}">
          <x14:formula1>
            <xm:f>'Pick lists'!$N$4:$N$146</xm:f>
          </x14:formula1>
          <xm:sqref>B9:D9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94DA8-71C1-C04E-A3FE-6383F00A2428}">
  <sheetPr codeName="Sheet2"/>
  <dimension ref="A1:K15"/>
  <sheetViews>
    <sheetView zoomScaleNormal="100" workbookViewId="0"/>
  </sheetViews>
  <sheetFormatPr defaultColWidth="10.85546875" defaultRowHeight="14.1"/>
  <cols>
    <col min="1" max="10" width="10.85546875" style="2"/>
    <col min="11" max="11" width="21.7109375" style="2" customWidth="1"/>
    <col min="12" max="16384" width="10.85546875" style="2"/>
  </cols>
  <sheetData>
    <row r="1" spans="1:11" ht="20.100000000000001">
      <c r="A1" s="61" t="s">
        <v>217</v>
      </c>
      <c r="B1" s="1"/>
      <c r="C1" s="1"/>
      <c r="D1" s="1"/>
      <c r="E1" s="1"/>
      <c r="F1" s="1"/>
      <c r="G1" s="1"/>
      <c r="H1" s="1"/>
      <c r="I1" s="1"/>
      <c r="J1" s="1"/>
      <c r="K1" s="62"/>
    </row>
    <row r="2" spans="1:11" ht="83.1" customHeight="1">
      <c r="A2" s="583" t="s">
        <v>218</v>
      </c>
      <c r="B2" s="583"/>
      <c r="C2" s="583"/>
      <c r="D2" s="583"/>
      <c r="E2" s="583"/>
      <c r="F2" s="583"/>
      <c r="G2" s="583"/>
      <c r="H2" s="583"/>
      <c r="I2" s="583"/>
      <c r="J2" s="583"/>
      <c r="K2" s="583"/>
    </row>
    <row r="3" spans="1:11">
      <c r="A3" s="596"/>
      <c r="B3" s="596"/>
      <c r="C3" s="596"/>
      <c r="D3" s="596"/>
      <c r="E3" s="596"/>
      <c r="F3" s="596"/>
      <c r="G3" s="596"/>
      <c r="H3" s="596"/>
      <c r="I3" s="596"/>
      <c r="J3" s="596"/>
      <c r="K3" s="596"/>
    </row>
    <row r="4" spans="1:11">
      <c r="A4" s="596"/>
      <c r="B4" s="596"/>
      <c r="C4" s="596"/>
      <c r="D4" s="596"/>
      <c r="E4" s="596"/>
      <c r="F4" s="596"/>
      <c r="G4" s="596"/>
      <c r="H4" s="596"/>
      <c r="I4" s="596"/>
      <c r="J4" s="596"/>
      <c r="K4" s="596"/>
    </row>
    <row r="5" spans="1:11">
      <c r="A5" s="596"/>
      <c r="B5" s="596"/>
      <c r="C5" s="596"/>
      <c r="D5" s="596"/>
      <c r="E5" s="596"/>
      <c r="F5" s="596"/>
      <c r="G5" s="596"/>
      <c r="H5" s="596"/>
      <c r="I5" s="596"/>
      <c r="J5" s="596"/>
      <c r="K5" s="596"/>
    </row>
    <row r="6" spans="1:11">
      <c r="A6" s="596"/>
      <c r="B6" s="596"/>
      <c r="C6" s="596"/>
      <c r="D6" s="596"/>
      <c r="E6" s="596"/>
      <c r="F6" s="596"/>
      <c r="G6" s="596"/>
      <c r="H6" s="596"/>
      <c r="I6" s="596"/>
      <c r="J6" s="596"/>
      <c r="K6" s="596"/>
    </row>
    <row r="7" spans="1:11">
      <c r="A7" s="596"/>
      <c r="B7" s="596"/>
      <c r="C7" s="596"/>
      <c r="D7" s="596"/>
      <c r="E7" s="596"/>
      <c r="F7" s="596"/>
      <c r="G7" s="596"/>
      <c r="H7" s="596"/>
      <c r="I7" s="596"/>
      <c r="J7" s="596"/>
      <c r="K7" s="596"/>
    </row>
    <row r="8" spans="1:11">
      <c r="A8" s="596"/>
      <c r="B8" s="596"/>
      <c r="C8" s="596"/>
      <c r="D8" s="596"/>
      <c r="E8" s="596"/>
      <c r="F8" s="596"/>
      <c r="G8" s="596"/>
      <c r="H8" s="596"/>
      <c r="I8" s="596"/>
      <c r="J8" s="596"/>
      <c r="K8" s="596"/>
    </row>
    <row r="9" spans="1:11">
      <c r="A9" s="596"/>
      <c r="B9" s="596"/>
      <c r="C9" s="596"/>
      <c r="D9" s="596"/>
      <c r="E9" s="596"/>
      <c r="F9" s="596"/>
      <c r="G9" s="596"/>
      <c r="H9" s="596"/>
      <c r="I9" s="596"/>
      <c r="J9" s="596"/>
      <c r="K9" s="596"/>
    </row>
    <row r="10" spans="1:11">
      <c r="A10" s="596"/>
      <c r="B10" s="596"/>
      <c r="C10" s="596"/>
      <c r="D10" s="596"/>
      <c r="E10" s="596"/>
      <c r="F10" s="596"/>
      <c r="G10" s="596"/>
      <c r="H10" s="596"/>
      <c r="I10" s="596"/>
      <c r="J10" s="596"/>
      <c r="K10" s="596"/>
    </row>
    <row r="11" spans="1:11">
      <c r="A11" s="596"/>
      <c r="B11" s="596"/>
      <c r="C11" s="596"/>
      <c r="D11" s="596"/>
      <c r="E11" s="596"/>
      <c r="F11" s="596"/>
      <c r="G11" s="596"/>
      <c r="H11" s="596"/>
      <c r="I11" s="596"/>
      <c r="J11" s="596"/>
      <c r="K11" s="596"/>
    </row>
    <row r="12" spans="1:11">
      <c r="A12" s="596"/>
      <c r="B12" s="596"/>
      <c r="C12" s="596"/>
      <c r="D12" s="596"/>
      <c r="E12" s="596"/>
      <c r="F12" s="596"/>
      <c r="G12" s="596"/>
      <c r="H12" s="596"/>
      <c r="I12" s="596"/>
      <c r="J12" s="596"/>
      <c r="K12" s="596"/>
    </row>
    <row r="13" spans="1:11">
      <c r="A13" s="596"/>
      <c r="B13" s="596"/>
      <c r="C13" s="596"/>
      <c r="D13" s="596"/>
      <c r="E13" s="596"/>
      <c r="F13" s="596"/>
      <c r="G13" s="596"/>
      <c r="H13" s="596"/>
      <c r="I13" s="596"/>
      <c r="J13" s="596"/>
      <c r="K13" s="596"/>
    </row>
    <row r="14" spans="1:11">
      <c r="A14" s="596"/>
      <c r="B14" s="596"/>
      <c r="C14" s="596"/>
      <c r="D14" s="596"/>
      <c r="E14" s="596"/>
      <c r="F14" s="596"/>
      <c r="G14" s="596"/>
      <c r="H14" s="596"/>
      <c r="I14" s="596"/>
      <c r="J14" s="596"/>
      <c r="K14" s="596"/>
    </row>
    <row r="15" spans="1:11">
      <c r="A15" s="596"/>
      <c r="B15" s="596"/>
      <c r="C15" s="596"/>
      <c r="D15" s="596"/>
      <c r="E15" s="596"/>
      <c r="F15" s="596"/>
      <c r="G15" s="596"/>
      <c r="H15" s="596"/>
      <c r="I15" s="596"/>
      <c r="J15" s="596"/>
      <c r="K15" s="596"/>
    </row>
  </sheetData>
  <mergeCells count="2">
    <mergeCell ref="A3:K15"/>
    <mergeCell ref="A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C9EE-A4DF-4B44-A0D5-3FACE69D92A0}">
  <sheetPr codeName="Sheet3"/>
  <dimension ref="A1:A45"/>
  <sheetViews>
    <sheetView zoomScaleNormal="100" workbookViewId="0"/>
  </sheetViews>
  <sheetFormatPr defaultColWidth="10.85546875" defaultRowHeight="14.1"/>
  <cols>
    <col min="1" max="1" width="185.28515625" style="2" customWidth="1"/>
    <col min="2" max="16384" width="10.85546875" style="2"/>
  </cols>
  <sheetData>
    <row r="1" spans="1:1" ht="42">
      <c r="A1" s="68" t="s">
        <v>219</v>
      </c>
    </row>
    <row r="2" spans="1:1" ht="21" customHeight="1">
      <c r="A2" s="67" t="s">
        <v>220</v>
      </c>
    </row>
    <row r="3" spans="1:1" ht="15.95">
      <c r="A3" s="132" t="s">
        <v>221</v>
      </c>
    </row>
    <row r="4" spans="1:1" ht="56.1">
      <c r="A4" s="63" t="s">
        <v>222</v>
      </c>
    </row>
    <row r="5" spans="1:1">
      <c r="A5" s="133" t="s">
        <v>223</v>
      </c>
    </row>
    <row r="6" spans="1:1">
      <c r="A6" s="64" t="s">
        <v>224</v>
      </c>
    </row>
    <row r="7" spans="1:1" ht="27.95">
      <c r="A7" s="65" t="s">
        <v>225</v>
      </c>
    </row>
    <row r="8" spans="1:1" ht="27.95">
      <c r="A8" s="65" t="s">
        <v>226</v>
      </c>
    </row>
    <row r="9" spans="1:1">
      <c r="A9" s="65" t="s">
        <v>227</v>
      </c>
    </row>
    <row r="10" spans="1:1">
      <c r="A10" s="65" t="s">
        <v>228</v>
      </c>
    </row>
    <row r="11" spans="1:1">
      <c r="A11" s="64" t="s">
        <v>229</v>
      </c>
    </row>
    <row r="12" spans="1:1">
      <c r="A12" s="65" t="s">
        <v>230</v>
      </c>
    </row>
    <row r="13" spans="1:1">
      <c r="A13" s="65" t="s">
        <v>231</v>
      </c>
    </row>
    <row r="14" spans="1:1">
      <c r="A14" s="65" t="s">
        <v>232</v>
      </c>
    </row>
    <row r="15" spans="1:1">
      <c r="A15" s="65" t="s">
        <v>233</v>
      </c>
    </row>
    <row r="16" spans="1:1">
      <c r="A16" s="133" t="s">
        <v>234</v>
      </c>
    </row>
    <row r="17" spans="1:1">
      <c r="A17" s="64" t="s">
        <v>224</v>
      </c>
    </row>
    <row r="18" spans="1:1" ht="27.95">
      <c r="A18" s="65" t="s">
        <v>235</v>
      </c>
    </row>
    <row r="19" spans="1:1">
      <c r="A19" s="65" t="s">
        <v>236</v>
      </c>
    </row>
    <row r="20" spans="1:1" ht="27.95">
      <c r="A20" s="65" t="s">
        <v>237</v>
      </c>
    </row>
    <row r="21" spans="1:1">
      <c r="A21" s="65" t="s">
        <v>238</v>
      </c>
    </row>
    <row r="22" spans="1:1">
      <c r="A22" s="65" t="s">
        <v>239</v>
      </c>
    </row>
    <row r="23" spans="1:1">
      <c r="A23" s="64" t="s">
        <v>229</v>
      </c>
    </row>
    <row r="24" spans="1:1">
      <c r="A24" s="65" t="s">
        <v>240</v>
      </c>
    </row>
    <row r="25" spans="1:1">
      <c r="A25" s="65" t="s">
        <v>241</v>
      </c>
    </row>
    <row r="26" spans="1:1" ht="21" customHeight="1">
      <c r="A26" s="65" t="s">
        <v>242</v>
      </c>
    </row>
    <row r="27" spans="1:1">
      <c r="A27" s="65" t="s">
        <v>243</v>
      </c>
    </row>
    <row r="28" spans="1:1">
      <c r="A28" s="65" t="s">
        <v>239</v>
      </c>
    </row>
    <row r="29" spans="1:1">
      <c r="A29" s="64" t="s">
        <v>244</v>
      </c>
    </row>
    <row r="30" spans="1:1" s="66" customFormat="1">
      <c r="A30" s="133" t="s">
        <v>245</v>
      </c>
    </row>
    <row r="31" spans="1:1">
      <c r="A31" s="64" t="s">
        <v>224</v>
      </c>
    </row>
    <row r="32" spans="1:1" ht="42">
      <c r="A32" s="65" t="s">
        <v>246</v>
      </c>
    </row>
    <row r="33" spans="1:1" ht="33" customHeight="1">
      <c r="A33" s="65" t="s">
        <v>247</v>
      </c>
    </row>
    <row r="34" spans="1:1">
      <c r="A34" s="65" t="s">
        <v>248</v>
      </c>
    </row>
    <row r="35" spans="1:1" ht="27.95">
      <c r="A35" s="65" t="s">
        <v>249</v>
      </c>
    </row>
    <row r="36" spans="1:1" ht="27.95">
      <c r="A36" s="65" t="s">
        <v>250</v>
      </c>
    </row>
    <row r="37" spans="1:1">
      <c r="A37" s="64" t="s">
        <v>229</v>
      </c>
    </row>
    <row r="38" spans="1:1">
      <c r="A38" s="65" t="s">
        <v>251</v>
      </c>
    </row>
    <row r="39" spans="1:1">
      <c r="A39" s="65" t="s">
        <v>252</v>
      </c>
    </row>
    <row r="40" spans="1:1">
      <c r="A40" s="65" t="s">
        <v>253</v>
      </c>
    </row>
    <row r="41" spans="1:1">
      <c r="A41" s="133" t="s">
        <v>254</v>
      </c>
    </row>
    <row r="42" spans="1:1" ht="30" customHeight="1">
      <c r="A42" s="64" t="s">
        <v>255</v>
      </c>
    </row>
    <row r="43" spans="1:1">
      <c r="A43" s="64" t="s">
        <v>256</v>
      </c>
    </row>
    <row r="44" spans="1:1">
      <c r="A44" s="64" t="s">
        <v>257</v>
      </c>
    </row>
    <row r="45" spans="1:1" ht="42">
      <c r="A45" s="64" t="s">
        <v>258</v>
      </c>
    </row>
  </sheetData>
  <sheetProtection algorithmName="SHA-512" hashValue="45MeutFM1fbtEHfFGeIp3kW595JbqdKaiGqYcwU3WQ9bvcsMwXiMDDbpJ47+AubIHI0djXsefUvOr/9oZvzwbA==" saltValue="1mC1QqbriJ+KJyQQLhZSXw==" spinCount="100000" sheet="1" objects="1" scenarios="1" formatCells="0" formatColumns="0"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B146"/>
  <sheetViews>
    <sheetView zoomScaleNormal="100" workbookViewId="0">
      <selection activeCell="W7" sqref="W7"/>
    </sheetView>
  </sheetViews>
  <sheetFormatPr defaultColWidth="8.85546875" defaultRowHeight="12.95"/>
  <cols>
    <col min="1" max="1" width="30.85546875" style="23" customWidth="1"/>
    <col min="2" max="2" width="14.140625" style="23" customWidth="1"/>
    <col min="3" max="4" width="14.42578125" style="23" customWidth="1"/>
    <col min="5" max="5" width="16.42578125" style="23" customWidth="1"/>
    <col min="6" max="6" width="4.7109375" style="23" customWidth="1"/>
    <col min="7" max="7" width="21.85546875" style="23" customWidth="1"/>
    <col min="8" max="8" width="22.85546875" style="23" customWidth="1"/>
    <col min="9" max="9" width="24" style="23" customWidth="1"/>
    <col min="10" max="11" width="20" style="23" customWidth="1"/>
    <col min="12" max="12" width="21.28515625" style="23" customWidth="1"/>
    <col min="13" max="13" width="8.85546875" style="23" customWidth="1"/>
    <col min="14" max="14" width="18.85546875" style="23" customWidth="1"/>
    <col min="15" max="15" width="19.42578125" style="23" customWidth="1"/>
    <col min="16" max="16" width="18.140625" style="23" customWidth="1"/>
    <col min="17" max="17" width="19.42578125" style="23" customWidth="1"/>
    <col min="18" max="18" width="19.42578125" style="345" customWidth="1"/>
    <col min="19" max="19" width="19.42578125" style="74" customWidth="1"/>
    <col min="20" max="20" width="22.85546875" style="23" customWidth="1"/>
    <col min="21" max="21" width="13.140625" style="23" customWidth="1"/>
    <col min="22" max="22" width="18.85546875" style="23" customWidth="1"/>
    <col min="23" max="23" width="13.42578125" style="23" customWidth="1"/>
    <col min="24" max="24" width="13.28515625" style="23" customWidth="1"/>
    <col min="25" max="25" width="10.7109375" style="23" customWidth="1"/>
    <col min="26" max="26" width="10.42578125" style="23" customWidth="1"/>
    <col min="27" max="27" width="8.85546875" style="23"/>
    <col min="28" max="28" width="52" style="23" customWidth="1"/>
    <col min="29" max="16384" width="8.85546875" style="23"/>
  </cols>
  <sheetData>
    <row r="1" spans="1:28">
      <c r="A1" s="69" t="s">
        <v>259</v>
      </c>
      <c r="B1" s="69"/>
      <c r="C1" s="69"/>
      <c r="D1" s="69"/>
      <c r="E1" s="69"/>
      <c r="F1" s="70"/>
      <c r="G1" s="69" t="s">
        <v>260</v>
      </c>
      <c r="H1" s="69"/>
      <c r="I1" s="69"/>
      <c r="J1" s="69"/>
      <c r="K1" s="69"/>
      <c r="L1" s="69"/>
      <c r="M1" s="70"/>
      <c r="N1" s="69" t="s">
        <v>261</v>
      </c>
      <c r="O1" s="69"/>
      <c r="P1" s="69"/>
      <c r="Q1" s="69"/>
      <c r="R1" s="343"/>
      <c r="S1" s="71"/>
      <c r="T1" s="70"/>
    </row>
    <row r="2" spans="1:28" ht="89.45" customHeight="1">
      <c r="A2" s="584" t="s">
        <v>262</v>
      </c>
      <c r="B2" s="584"/>
      <c r="C2" s="584"/>
      <c r="D2" s="584"/>
      <c r="E2" s="72"/>
      <c r="F2" s="24"/>
      <c r="G2" s="584" t="s">
        <v>263</v>
      </c>
      <c r="H2" s="584"/>
      <c r="I2" s="584"/>
      <c r="J2" s="354" t="s">
        <v>264</v>
      </c>
      <c r="K2" s="73"/>
      <c r="L2" s="73"/>
      <c r="M2" s="72"/>
      <c r="N2" s="585"/>
      <c r="O2" s="585"/>
      <c r="P2" s="585"/>
      <c r="Q2" s="585"/>
      <c r="R2" s="585"/>
      <c r="T2" s="97" t="s">
        <v>265</v>
      </c>
    </row>
    <row r="3" spans="1:28" ht="88.7" customHeight="1" thickBot="1">
      <c r="A3" s="89" t="s">
        <v>266</v>
      </c>
      <c r="B3" s="89" t="s">
        <v>267</v>
      </c>
      <c r="C3" s="90" t="s">
        <v>268</v>
      </c>
      <c r="D3" s="89" t="s">
        <v>269</v>
      </c>
      <c r="E3" s="49" t="s">
        <v>270</v>
      </c>
      <c r="G3" s="49" t="s">
        <v>271</v>
      </c>
      <c r="H3" s="49" t="s">
        <v>272</v>
      </c>
      <c r="I3" s="49" t="s">
        <v>273</v>
      </c>
      <c r="J3" s="49" t="s">
        <v>274</v>
      </c>
      <c r="K3" s="49" t="s">
        <v>275</v>
      </c>
      <c r="L3" s="49" t="s">
        <v>276</v>
      </c>
      <c r="M3" s="49" t="s">
        <v>277</v>
      </c>
      <c r="N3" s="93" t="s">
        <v>278</v>
      </c>
      <c r="O3" s="49" t="s">
        <v>279</v>
      </c>
      <c r="P3" s="49" t="s">
        <v>280</v>
      </c>
      <c r="Q3" s="49" t="s">
        <v>281</v>
      </c>
      <c r="R3" s="342" t="s">
        <v>282</v>
      </c>
      <c r="S3" s="75"/>
      <c r="T3" s="94" t="s">
        <v>283</v>
      </c>
      <c r="U3" s="95" t="s">
        <v>284</v>
      </c>
      <c r="V3" s="95" t="s">
        <v>285</v>
      </c>
      <c r="W3" s="95" t="s">
        <v>286</v>
      </c>
      <c r="X3" s="96" t="s">
        <v>287</v>
      </c>
      <c r="Y3" s="95" t="s">
        <v>285</v>
      </c>
      <c r="Z3" s="95" t="s">
        <v>286</v>
      </c>
      <c r="AB3" s="91" t="s">
        <v>288</v>
      </c>
    </row>
    <row r="4" spans="1:28" ht="27.95">
      <c r="A4" s="6" t="s">
        <v>289</v>
      </c>
      <c r="B4" s="6" t="s">
        <v>290</v>
      </c>
      <c r="C4" s="77">
        <v>1.8867911999999997E-3</v>
      </c>
      <c r="D4" s="6" t="s">
        <v>291</v>
      </c>
      <c r="E4" s="91"/>
      <c r="G4" s="49" t="s">
        <v>10</v>
      </c>
      <c r="H4" s="49" t="s">
        <v>13</v>
      </c>
      <c r="I4" s="49"/>
      <c r="J4" s="49"/>
      <c r="K4" s="49"/>
      <c r="L4" s="340"/>
      <c r="M4" s="6"/>
      <c r="N4" s="93" t="s">
        <v>10</v>
      </c>
      <c r="O4" s="6"/>
      <c r="P4" s="6"/>
      <c r="Q4" s="6"/>
      <c r="R4" s="344"/>
      <c r="T4" s="78" t="s">
        <v>189</v>
      </c>
      <c r="U4" s="6"/>
      <c r="V4" s="6"/>
      <c r="W4" s="6"/>
      <c r="X4" s="6"/>
      <c r="Y4" s="6"/>
      <c r="Z4" s="79"/>
      <c r="AB4" s="6" t="s">
        <v>27</v>
      </c>
    </row>
    <row r="5" spans="1:28">
      <c r="A5" s="6" t="s">
        <v>289</v>
      </c>
      <c r="B5" s="6" t="s">
        <v>292</v>
      </c>
      <c r="C5" s="77">
        <f>C6/1000</f>
        <v>2.0215711827430537E-4</v>
      </c>
      <c r="D5" s="6" t="s">
        <v>293</v>
      </c>
      <c r="E5" s="91"/>
      <c r="F5" s="80"/>
      <c r="G5" s="6" t="s">
        <v>294</v>
      </c>
      <c r="H5" s="6" t="s">
        <v>295</v>
      </c>
      <c r="I5" s="81">
        <v>1120.8130000000001</v>
      </c>
      <c r="J5" s="82">
        <f t="shared" ref="J5:J19" si="0">I5/2204.62</f>
        <v>0.50839282960328769</v>
      </c>
      <c r="K5" s="82">
        <v>1132.453</v>
      </c>
      <c r="L5" s="341">
        <f t="shared" ref="L5:L31" si="1">K5/2204.62</f>
        <v>0.51367265106911852</v>
      </c>
      <c r="M5" s="6"/>
      <c r="N5" s="6" t="s">
        <v>296</v>
      </c>
      <c r="O5" s="6"/>
      <c r="P5" s="6"/>
      <c r="Q5" s="6"/>
      <c r="R5" s="344"/>
      <c r="T5" s="76" t="s">
        <v>213</v>
      </c>
      <c r="U5" s="83">
        <v>0.05</v>
      </c>
      <c r="V5" s="83">
        <v>0</v>
      </c>
      <c r="W5" s="83">
        <v>0</v>
      </c>
      <c r="X5" s="79">
        <v>0.05</v>
      </c>
      <c r="Y5" s="6">
        <v>0</v>
      </c>
      <c r="Z5" s="83">
        <v>0</v>
      </c>
      <c r="AB5" s="6" t="s">
        <v>297</v>
      </c>
    </row>
    <row r="6" spans="1:28">
      <c r="A6" s="6" t="s">
        <v>289</v>
      </c>
      <c r="B6" s="6" t="s">
        <v>101</v>
      </c>
      <c r="C6" s="77">
        <v>0.20215711827430538</v>
      </c>
      <c r="D6" s="6" t="s">
        <v>298</v>
      </c>
      <c r="E6" s="91"/>
      <c r="F6" s="80"/>
      <c r="G6" s="6" t="s">
        <v>299</v>
      </c>
      <c r="H6" s="6" t="s">
        <v>300</v>
      </c>
      <c r="I6" s="6">
        <v>551.27599999999995</v>
      </c>
      <c r="J6" s="82">
        <f t="shared" si="0"/>
        <v>0.25005488474204168</v>
      </c>
      <c r="K6" s="82">
        <v>551.27399999999989</v>
      </c>
      <c r="L6" s="341">
        <f t="shared" si="1"/>
        <v>0.25005397755622283</v>
      </c>
      <c r="M6" s="6"/>
      <c r="N6" s="6" t="s">
        <v>301</v>
      </c>
      <c r="O6" s="6"/>
      <c r="P6" s="6"/>
      <c r="Q6" s="6"/>
      <c r="R6" s="344"/>
      <c r="T6" s="76" t="s">
        <v>214</v>
      </c>
      <c r="U6" s="83">
        <v>0.2</v>
      </c>
      <c r="V6" s="83">
        <v>0</v>
      </c>
      <c r="W6" s="83">
        <v>0</v>
      </c>
      <c r="X6" s="79">
        <v>0.2</v>
      </c>
      <c r="Y6" s="6">
        <v>0</v>
      </c>
      <c r="Z6" s="83">
        <v>0</v>
      </c>
      <c r="AB6" s="6" t="s">
        <v>302</v>
      </c>
    </row>
    <row r="7" spans="1:28">
      <c r="A7" s="6" t="s">
        <v>289</v>
      </c>
      <c r="B7" s="138" t="s">
        <v>303</v>
      </c>
      <c r="C7" s="77">
        <v>1.8123419687927599E-4</v>
      </c>
      <c r="D7" s="6" t="s">
        <v>293</v>
      </c>
      <c r="E7" s="91"/>
      <c r="F7" s="80"/>
      <c r="G7" s="6" t="s">
        <v>304</v>
      </c>
      <c r="H7" s="6" t="s">
        <v>305</v>
      </c>
      <c r="I7" s="81">
        <v>956.88300000000004</v>
      </c>
      <c r="J7" s="82">
        <f t="shared" si="0"/>
        <v>0.43403534395950327</v>
      </c>
      <c r="K7" s="82">
        <v>959.452</v>
      </c>
      <c r="L7" s="341">
        <f t="shared" si="1"/>
        <v>0.43520062414384342</v>
      </c>
      <c r="M7" s="6"/>
      <c r="N7" s="6" t="s">
        <v>306</v>
      </c>
      <c r="O7" s="6"/>
      <c r="P7" s="6"/>
      <c r="Q7" s="6"/>
      <c r="R7" s="344"/>
      <c r="T7" s="76" t="s">
        <v>215</v>
      </c>
      <c r="U7" s="83">
        <f>IF('Energy &amp; GHGs'!G23="Yes",0,25%)</f>
        <v>0.25</v>
      </c>
      <c r="V7" s="83">
        <f>IF('Energy &amp; GHGs'!G23="Yes",100%,0%)</f>
        <v>0</v>
      </c>
      <c r="W7" s="83">
        <f>IF('Energy &amp; GHGs'!G23="Yes",0,25%)</f>
        <v>0.25</v>
      </c>
      <c r="X7" s="6">
        <v>0</v>
      </c>
      <c r="Y7" s="79">
        <v>0.5</v>
      </c>
      <c r="Z7" s="83">
        <v>0</v>
      </c>
      <c r="AB7" s="6" t="s">
        <v>307</v>
      </c>
    </row>
    <row r="8" spans="1:28">
      <c r="A8" s="6" t="s">
        <v>289</v>
      </c>
      <c r="B8" s="139" t="s">
        <v>308</v>
      </c>
      <c r="C8" s="85">
        <f>C7*1000</f>
        <v>0.181234196879276</v>
      </c>
      <c r="D8" s="6" t="s">
        <v>298</v>
      </c>
      <c r="E8" s="92"/>
      <c r="F8" s="80"/>
      <c r="G8" s="6" t="s">
        <v>309</v>
      </c>
      <c r="H8" s="6" t="s">
        <v>310</v>
      </c>
      <c r="I8" s="6">
        <v>455.25099999999998</v>
      </c>
      <c r="J8" s="82">
        <f t="shared" si="0"/>
        <v>0.20649862561348442</v>
      </c>
      <c r="K8" s="82">
        <v>463.50199999999995</v>
      </c>
      <c r="L8" s="341">
        <f t="shared" si="1"/>
        <v>0.21024122070923787</v>
      </c>
      <c r="M8" s="6"/>
      <c r="N8" s="6" t="s">
        <v>311</v>
      </c>
      <c r="O8" s="6">
        <v>7.2</v>
      </c>
      <c r="P8" s="6"/>
      <c r="Q8" s="6"/>
      <c r="R8" s="344"/>
      <c r="T8" s="76" t="s">
        <v>216</v>
      </c>
      <c r="U8" s="83">
        <v>0</v>
      </c>
      <c r="V8" s="83">
        <v>0</v>
      </c>
      <c r="W8" s="83">
        <v>1.01</v>
      </c>
      <c r="X8" s="6">
        <v>0</v>
      </c>
      <c r="Y8" s="6">
        <v>0</v>
      </c>
      <c r="Z8" s="83">
        <v>1.01</v>
      </c>
      <c r="AB8" s="6" t="s">
        <v>312</v>
      </c>
    </row>
    <row r="9" spans="1:28">
      <c r="A9" s="84" t="s">
        <v>289</v>
      </c>
      <c r="B9" s="84" t="s">
        <v>313</v>
      </c>
      <c r="C9" s="85">
        <v>5.3433926784E-3</v>
      </c>
      <c r="D9" s="84" t="s">
        <v>314</v>
      </c>
      <c r="E9" s="92"/>
      <c r="F9" s="80"/>
      <c r="G9" s="6" t="s">
        <v>315</v>
      </c>
      <c r="H9" s="6" t="s">
        <v>316</v>
      </c>
      <c r="I9" s="81">
        <v>872.38900000000001</v>
      </c>
      <c r="J9" s="82">
        <f t="shared" si="0"/>
        <v>0.39570946466964829</v>
      </c>
      <c r="K9" s="82">
        <v>931.05899999999997</v>
      </c>
      <c r="L9" s="341">
        <f t="shared" si="1"/>
        <v>0.42232176066623728</v>
      </c>
      <c r="M9" s="6"/>
      <c r="N9" s="6" t="s">
        <v>317</v>
      </c>
      <c r="O9" s="6">
        <v>25.3</v>
      </c>
      <c r="P9" s="6"/>
      <c r="Q9" s="6"/>
      <c r="R9" s="344"/>
      <c r="AB9" s="6" t="s">
        <v>318</v>
      </c>
    </row>
    <row r="10" spans="1:28">
      <c r="A10" s="6" t="s">
        <v>289</v>
      </c>
      <c r="B10" s="84" t="s">
        <v>319</v>
      </c>
      <c r="C10" s="77">
        <v>5.3433926783999997E-2</v>
      </c>
      <c r="D10" s="6" t="s">
        <v>320</v>
      </c>
      <c r="E10" s="91"/>
      <c r="F10" s="80"/>
      <c r="G10" s="6" t="s">
        <v>321</v>
      </c>
      <c r="H10" s="6" t="s">
        <v>322</v>
      </c>
      <c r="I10" s="81">
        <v>864.53499999999997</v>
      </c>
      <c r="J10" s="82">
        <f t="shared" si="0"/>
        <v>0.39214694595894078</v>
      </c>
      <c r="K10" s="82">
        <v>870.87699999999995</v>
      </c>
      <c r="L10" s="341">
        <f t="shared" si="1"/>
        <v>0.39502363219058162</v>
      </c>
      <c r="M10" s="6"/>
      <c r="N10" s="6" t="s">
        <v>323</v>
      </c>
      <c r="O10" s="6"/>
      <c r="P10" s="6"/>
      <c r="Q10" s="6"/>
      <c r="R10" s="344"/>
      <c r="AB10" s="6" t="s">
        <v>324</v>
      </c>
    </row>
    <row r="11" spans="1:28">
      <c r="A11" s="6" t="s">
        <v>289</v>
      </c>
      <c r="B11" s="6" t="s">
        <v>325</v>
      </c>
      <c r="C11" s="86">
        <v>5.9248612950000001E-2</v>
      </c>
      <c r="D11" s="6" t="s">
        <v>326</v>
      </c>
      <c r="E11" s="91"/>
      <c r="F11" s="80"/>
      <c r="G11" s="6" t="s">
        <v>327</v>
      </c>
      <c r="H11" s="6" t="s">
        <v>328</v>
      </c>
      <c r="I11" s="81">
        <v>1195.598</v>
      </c>
      <c r="J11" s="82">
        <f t="shared" si="0"/>
        <v>0.54231477533543193</v>
      </c>
      <c r="K11" s="82">
        <v>1195.6029999999998</v>
      </c>
      <c r="L11" s="341">
        <f t="shared" si="1"/>
        <v>0.5423170432999791</v>
      </c>
      <c r="M11" s="6" t="s">
        <v>329</v>
      </c>
      <c r="N11" s="6" t="s">
        <v>330</v>
      </c>
      <c r="O11" s="6"/>
      <c r="P11" s="352">
        <v>0.13286000000000001</v>
      </c>
      <c r="Q11" s="353" t="s">
        <v>331</v>
      </c>
      <c r="R11" s="344">
        <v>0.54586999999999997</v>
      </c>
      <c r="T11" s="76" t="s">
        <v>10</v>
      </c>
      <c r="AB11" s="6" t="s">
        <v>332</v>
      </c>
    </row>
    <row r="12" spans="1:28">
      <c r="A12" s="6" t="s">
        <v>289</v>
      </c>
      <c r="B12" s="87" t="s">
        <v>333</v>
      </c>
      <c r="C12" s="77">
        <v>5.3323751654999994E-2</v>
      </c>
      <c r="D12" s="6" t="s">
        <v>326</v>
      </c>
      <c r="E12" s="91"/>
      <c r="F12" s="80"/>
      <c r="G12" s="6" t="s">
        <v>334</v>
      </c>
      <c r="H12" s="6" t="s">
        <v>335</v>
      </c>
      <c r="I12" s="81">
        <v>1707.576</v>
      </c>
      <c r="J12" s="82">
        <f t="shared" si="0"/>
        <v>0.774544365922472</v>
      </c>
      <c r="K12" s="82">
        <v>1707.575</v>
      </c>
      <c r="L12" s="341">
        <f t="shared" si="1"/>
        <v>0.77454391232956254</v>
      </c>
      <c r="M12" s="6"/>
      <c r="N12" s="6" t="s">
        <v>336</v>
      </c>
      <c r="O12" s="6"/>
      <c r="P12" s="6"/>
      <c r="Q12" s="6"/>
      <c r="R12" s="344"/>
      <c r="T12" s="76" t="s">
        <v>337</v>
      </c>
    </row>
    <row r="13" spans="1:28">
      <c r="A13" s="6" t="s">
        <v>289</v>
      </c>
      <c r="B13" s="6" t="s">
        <v>338</v>
      </c>
      <c r="C13" s="77">
        <v>5.9247204051487649E-3</v>
      </c>
      <c r="D13" s="6" t="s">
        <v>339</v>
      </c>
      <c r="E13" s="91"/>
      <c r="F13" s="80"/>
      <c r="G13" s="6" t="s">
        <v>340</v>
      </c>
      <c r="H13" s="6" t="s">
        <v>341</v>
      </c>
      <c r="I13" s="81">
        <v>1512.5989999999999</v>
      </c>
      <c r="J13" s="82">
        <f t="shared" si="0"/>
        <v>0.68610418121943917</v>
      </c>
      <c r="K13" s="82">
        <v>1512.6399999999999</v>
      </c>
      <c r="L13" s="341">
        <f t="shared" si="1"/>
        <v>0.68612277852872605</v>
      </c>
      <c r="M13" s="6"/>
      <c r="N13" s="6" t="s">
        <v>342</v>
      </c>
      <c r="O13" s="6"/>
      <c r="P13" s="6"/>
      <c r="Q13" s="6"/>
      <c r="R13" s="344"/>
      <c r="T13" s="76" t="s">
        <v>343</v>
      </c>
    </row>
    <row r="14" spans="1:28">
      <c r="A14" s="88" t="s">
        <v>289</v>
      </c>
      <c r="B14" s="87" t="s">
        <v>344</v>
      </c>
      <c r="C14" s="77">
        <v>5.3322483646338877E-3</v>
      </c>
      <c r="D14" s="6" t="s">
        <v>339</v>
      </c>
      <c r="E14" s="91"/>
      <c r="F14" s="80"/>
      <c r="G14" s="6" t="s">
        <v>345</v>
      </c>
      <c r="H14" s="6" t="s">
        <v>346</v>
      </c>
      <c r="I14" s="81">
        <v>1106.4480000000001</v>
      </c>
      <c r="J14" s="82">
        <f t="shared" si="0"/>
        <v>0.5018769674592447</v>
      </c>
      <c r="K14" s="82">
        <v>1157.6949999999999</v>
      </c>
      <c r="L14" s="341">
        <f t="shared" si="1"/>
        <v>0.52512224328909285</v>
      </c>
      <c r="M14" s="6"/>
      <c r="N14" s="6" t="s">
        <v>347</v>
      </c>
      <c r="O14" s="6"/>
      <c r="P14" s="6"/>
      <c r="Q14" s="6"/>
      <c r="R14" s="344"/>
    </row>
    <row r="15" spans="1:28" ht="27.95">
      <c r="A15" s="30" t="s">
        <v>348</v>
      </c>
      <c r="B15" s="6" t="s">
        <v>104</v>
      </c>
      <c r="C15" s="77">
        <v>1.6130922390000001E-3</v>
      </c>
      <c r="D15" s="6" t="s">
        <v>349</v>
      </c>
      <c r="E15" s="91"/>
      <c r="F15" s="80"/>
      <c r="G15" s="6" t="s">
        <v>350</v>
      </c>
      <c r="H15" s="6" t="s">
        <v>351</v>
      </c>
      <c r="I15" s="6">
        <v>493.82900000000001</v>
      </c>
      <c r="J15" s="82">
        <f t="shared" si="0"/>
        <v>0.22399733287369253</v>
      </c>
      <c r="K15" s="82">
        <v>495.88100000000003</v>
      </c>
      <c r="L15" s="341">
        <f t="shared" si="1"/>
        <v>0.22492810552385448</v>
      </c>
      <c r="M15" s="6"/>
      <c r="N15" s="6" t="s">
        <v>352</v>
      </c>
      <c r="O15" s="6">
        <v>14.1</v>
      </c>
      <c r="P15" s="6"/>
      <c r="Q15" s="6"/>
      <c r="R15" s="344"/>
    </row>
    <row r="16" spans="1:28" ht="27.95">
      <c r="A16" s="30" t="s">
        <v>348</v>
      </c>
      <c r="B16" s="6" t="s">
        <v>353</v>
      </c>
      <c r="C16" s="77">
        <v>6.1055541246150006E-3</v>
      </c>
      <c r="D16" s="6" t="s">
        <v>354</v>
      </c>
      <c r="E16" s="91"/>
      <c r="F16" s="80"/>
      <c r="G16" s="6" t="s">
        <v>355</v>
      </c>
      <c r="H16" s="6" t="s">
        <v>356</v>
      </c>
      <c r="I16" s="6">
        <v>719.87300000000005</v>
      </c>
      <c r="J16" s="82">
        <f t="shared" si="0"/>
        <v>0.3265292884941623</v>
      </c>
      <c r="K16" s="82">
        <v>738.45200000000011</v>
      </c>
      <c r="L16" s="341">
        <f t="shared" si="1"/>
        <v>0.33495659115856707</v>
      </c>
      <c r="M16" s="6" t="s">
        <v>357</v>
      </c>
      <c r="N16" s="6" t="s">
        <v>358</v>
      </c>
      <c r="O16" s="6">
        <v>50.8</v>
      </c>
      <c r="P16" s="6">
        <v>0.15312999999999999</v>
      </c>
      <c r="Q16" s="6">
        <v>0.18767</v>
      </c>
      <c r="R16" s="344">
        <v>0.18906000000000001</v>
      </c>
      <c r="T16" s="76" t="s">
        <v>10</v>
      </c>
    </row>
    <row r="17" spans="1:20">
      <c r="A17" s="6" t="s">
        <v>359</v>
      </c>
      <c r="B17" s="6" t="s">
        <v>104</v>
      </c>
      <c r="C17" s="77">
        <v>2.2797586259999999E-3</v>
      </c>
      <c r="D17" s="6" t="s">
        <v>349</v>
      </c>
      <c r="E17" s="91"/>
      <c r="F17" s="80"/>
      <c r="G17" s="6" t="s">
        <v>360</v>
      </c>
      <c r="H17" s="6" t="s">
        <v>361</v>
      </c>
      <c r="I17" s="6">
        <v>555.05600000000004</v>
      </c>
      <c r="J17" s="82">
        <f t="shared" si="0"/>
        <v>0.25176946593970845</v>
      </c>
      <c r="K17" s="82">
        <v>555.05499999999995</v>
      </c>
      <c r="L17" s="341">
        <f t="shared" si="1"/>
        <v>0.25176901234679899</v>
      </c>
      <c r="M17" s="6"/>
      <c r="N17" s="6" t="s">
        <v>362</v>
      </c>
      <c r="O17" s="6"/>
      <c r="P17" s="6"/>
      <c r="Q17" s="6"/>
      <c r="R17" s="344"/>
      <c r="T17" s="76" t="s">
        <v>363</v>
      </c>
    </row>
    <row r="18" spans="1:20">
      <c r="A18" s="6" t="s">
        <v>359</v>
      </c>
      <c r="B18" s="6" t="s">
        <v>353</v>
      </c>
      <c r="C18" s="77">
        <v>8.6288863994100004E-3</v>
      </c>
      <c r="D18" s="6" t="s">
        <v>354</v>
      </c>
      <c r="E18" s="91"/>
      <c r="F18" s="80"/>
      <c r="G18" s="6" t="s">
        <v>364</v>
      </c>
      <c r="H18" s="6" t="s">
        <v>365</v>
      </c>
      <c r="I18" s="81">
        <v>1218.93</v>
      </c>
      <c r="J18" s="82">
        <f t="shared" si="0"/>
        <v>0.55289800509838438</v>
      </c>
      <c r="K18" s="82">
        <v>1218.9350000000002</v>
      </c>
      <c r="L18" s="341">
        <f t="shared" si="1"/>
        <v>0.55290027306293155</v>
      </c>
      <c r="M18" s="6"/>
      <c r="N18" s="6" t="s">
        <v>366</v>
      </c>
      <c r="O18" s="6"/>
      <c r="P18" s="6"/>
      <c r="Q18" s="6"/>
      <c r="R18" s="344"/>
      <c r="T18" s="76" t="s">
        <v>44</v>
      </c>
    </row>
    <row r="19" spans="1:20">
      <c r="A19" s="6" t="s">
        <v>367</v>
      </c>
      <c r="B19" s="6" t="s">
        <v>104</v>
      </c>
      <c r="C19" s="77">
        <v>2.6852691599999999E-3</v>
      </c>
      <c r="D19" s="6" t="s">
        <v>349</v>
      </c>
      <c r="E19" s="91"/>
      <c r="F19" s="80"/>
      <c r="G19" s="6" t="s">
        <v>368</v>
      </c>
      <c r="H19" s="6" t="s">
        <v>369</v>
      </c>
      <c r="I19" s="6">
        <v>233.04400000000001</v>
      </c>
      <c r="J19" s="82">
        <f t="shared" si="0"/>
        <v>0.10570710598651922</v>
      </c>
      <c r="K19" s="82">
        <v>233.09900000000002</v>
      </c>
      <c r="L19" s="341">
        <f t="shared" si="1"/>
        <v>0.10573205359653819</v>
      </c>
      <c r="M19" s="6"/>
      <c r="N19" s="6" t="s">
        <v>370</v>
      </c>
      <c r="O19" s="6"/>
      <c r="P19" s="6"/>
      <c r="Q19" s="6"/>
      <c r="R19" s="344"/>
    </row>
    <row r="20" spans="1:20">
      <c r="A20" s="6" t="s">
        <v>367</v>
      </c>
      <c r="B20" s="6" t="s">
        <v>353</v>
      </c>
      <c r="C20" s="77">
        <v>1.01637437706E-2</v>
      </c>
      <c r="D20" s="6" t="s">
        <v>354</v>
      </c>
      <c r="E20" s="91"/>
      <c r="F20" s="80"/>
      <c r="G20" s="6" t="s">
        <v>371</v>
      </c>
      <c r="H20" s="6" t="s">
        <v>372</v>
      </c>
      <c r="I20" s="6">
        <v>1543.34</v>
      </c>
      <c r="J20" s="82"/>
      <c r="K20" s="82">
        <v>1560.242</v>
      </c>
      <c r="L20" s="341">
        <f t="shared" si="1"/>
        <v>0.70771470820368143</v>
      </c>
      <c r="M20" s="6"/>
      <c r="N20" s="6" t="s">
        <v>373</v>
      </c>
      <c r="O20" s="6"/>
      <c r="P20" s="6"/>
      <c r="Q20" s="6"/>
      <c r="R20" s="344"/>
    </row>
    <row r="21" spans="1:20">
      <c r="A21" s="6" t="s">
        <v>374</v>
      </c>
      <c r="B21" s="6" t="s">
        <v>375</v>
      </c>
      <c r="C21" s="77">
        <v>1.7768399999999996E-3</v>
      </c>
      <c r="D21" s="6" t="s">
        <v>376</v>
      </c>
      <c r="E21" s="91"/>
      <c r="F21" s="80"/>
      <c r="G21" s="6" t="s">
        <v>377</v>
      </c>
      <c r="H21" s="6" t="s">
        <v>378</v>
      </c>
      <c r="I21" s="6">
        <v>698.48500000000001</v>
      </c>
      <c r="J21" s="82">
        <f t="shared" ref="J21:J31" si="2">I21/2204.62</f>
        <v>0.3168278433471528</v>
      </c>
      <c r="K21" s="82">
        <v>698.69100000000003</v>
      </c>
      <c r="L21" s="341">
        <f t="shared" si="1"/>
        <v>0.31692128348649656</v>
      </c>
      <c r="M21" s="6"/>
      <c r="N21" s="6" t="s">
        <v>379</v>
      </c>
      <c r="O21" s="6">
        <v>2.4</v>
      </c>
      <c r="P21" s="6"/>
      <c r="Q21" s="6"/>
      <c r="R21" s="344"/>
    </row>
    <row r="22" spans="1:20">
      <c r="A22" s="6" t="s">
        <v>374</v>
      </c>
      <c r="B22" s="6" t="s">
        <v>125</v>
      </c>
      <c r="C22" s="77">
        <v>1.77684</v>
      </c>
      <c r="D22" s="6" t="s">
        <v>380</v>
      </c>
      <c r="E22" s="91"/>
      <c r="F22" s="80"/>
      <c r="G22" s="6" t="s">
        <v>381</v>
      </c>
      <c r="H22" s="6" t="s">
        <v>382</v>
      </c>
      <c r="I22" s="81">
        <v>1196.9970000000001</v>
      </c>
      <c r="J22" s="82">
        <f t="shared" si="2"/>
        <v>0.54294935181573245</v>
      </c>
      <c r="K22" s="82">
        <v>1197.6120000000001</v>
      </c>
      <c r="L22" s="341">
        <f t="shared" si="1"/>
        <v>0.54322831145503536</v>
      </c>
      <c r="M22" s="6"/>
      <c r="N22" s="6" t="s">
        <v>383</v>
      </c>
      <c r="O22" s="6"/>
      <c r="P22" s="6"/>
      <c r="Q22" s="6"/>
      <c r="R22" s="344"/>
    </row>
    <row r="23" spans="1:20">
      <c r="A23" s="6" t="s">
        <v>384</v>
      </c>
      <c r="B23" s="134" t="s">
        <v>101</v>
      </c>
      <c r="C23" s="135">
        <v>0.19675712259430192</v>
      </c>
      <c r="D23" s="134" t="s">
        <v>298</v>
      </c>
      <c r="E23" s="135">
        <f>0.196559842752126*1</f>
        <v>0.19655984275212601</v>
      </c>
      <c r="F23" s="80"/>
      <c r="G23" s="6" t="s">
        <v>385</v>
      </c>
      <c r="H23" s="6" t="s">
        <v>386</v>
      </c>
      <c r="I23" s="81">
        <v>1074.4100000000001</v>
      </c>
      <c r="J23" s="82">
        <f t="shared" si="2"/>
        <v>0.48734475782674569</v>
      </c>
      <c r="K23" s="82">
        <v>1074.8009999999999</v>
      </c>
      <c r="L23" s="341">
        <f t="shared" si="1"/>
        <v>0.48752211265433498</v>
      </c>
      <c r="M23" s="6" t="s">
        <v>387</v>
      </c>
      <c r="N23" s="6" t="s">
        <v>388</v>
      </c>
      <c r="O23" s="6">
        <v>34.6</v>
      </c>
      <c r="P23" s="6">
        <v>0.43736999999999998</v>
      </c>
      <c r="Q23" s="6">
        <v>0.43736999999999998</v>
      </c>
      <c r="R23" s="344">
        <v>0.49542999999999998</v>
      </c>
    </row>
    <row r="24" spans="1:20">
      <c r="A24" s="6" t="s">
        <v>384</v>
      </c>
      <c r="B24" s="134" t="s">
        <v>308</v>
      </c>
      <c r="C24" s="135">
        <v>0.17854559987787266</v>
      </c>
      <c r="D24" s="134" t="s">
        <v>298</v>
      </c>
      <c r="E24" s="135">
        <f>0.177670214941379*1</f>
        <v>0.177670214941379</v>
      </c>
      <c r="F24" s="80"/>
      <c r="G24" s="6" t="s">
        <v>389</v>
      </c>
      <c r="H24" s="6" t="s">
        <v>390</v>
      </c>
      <c r="I24" s="81">
        <v>1250.5530000000001</v>
      </c>
      <c r="J24" s="82">
        <f t="shared" si="2"/>
        <v>0.56724197367346763</v>
      </c>
      <c r="K24" s="82">
        <v>1282.8220000000001</v>
      </c>
      <c r="L24" s="341">
        <f t="shared" si="1"/>
        <v>0.58187896326804622</v>
      </c>
      <c r="M24" s="6"/>
      <c r="N24" s="6" t="s">
        <v>391</v>
      </c>
      <c r="O24" s="6"/>
      <c r="P24" s="6"/>
      <c r="Q24" s="6"/>
      <c r="R24" s="344"/>
    </row>
    <row r="25" spans="1:20">
      <c r="A25" s="88" t="s">
        <v>392</v>
      </c>
      <c r="B25" s="88" t="s">
        <v>375</v>
      </c>
      <c r="C25" s="137">
        <v>1.7768399999999996E-3</v>
      </c>
      <c r="D25" s="88" t="s">
        <v>376</v>
      </c>
      <c r="E25" s="137">
        <f>0.0017472*0.57</f>
        <v>9.9590399999999993E-4</v>
      </c>
      <c r="F25" s="80"/>
      <c r="G25" s="6" t="s">
        <v>393</v>
      </c>
      <c r="H25" s="6" t="s">
        <v>394</v>
      </c>
      <c r="I25" s="81">
        <v>1077.597</v>
      </c>
      <c r="J25" s="82">
        <f t="shared" si="2"/>
        <v>0.48879035842911706</v>
      </c>
      <c r="K25" s="82">
        <v>1155.1759999999999</v>
      </c>
      <c r="L25" s="341">
        <f t="shared" si="1"/>
        <v>0.52397964275022457</v>
      </c>
      <c r="M25" s="6"/>
      <c r="N25" s="6" t="s">
        <v>395</v>
      </c>
      <c r="O25" s="6"/>
      <c r="P25" s="6"/>
      <c r="Q25" s="6"/>
      <c r="R25" s="344"/>
    </row>
    <row r="26" spans="1:20">
      <c r="A26" s="134" t="s">
        <v>392</v>
      </c>
      <c r="B26" s="134" t="s">
        <v>125</v>
      </c>
      <c r="C26" s="135">
        <v>1.77684</v>
      </c>
      <c r="D26" s="134" t="s">
        <v>380</v>
      </c>
      <c r="E26" s="135">
        <f>1.7472*0.57</f>
        <v>0.99590400000000001</v>
      </c>
      <c r="F26" s="80"/>
      <c r="G26" s="6" t="s">
        <v>396</v>
      </c>
      <c r="H26" s="6" t="s">
        <v>397</v>
      </c>
      <c r="I26" s="81">
        <v>1006.722</v>
      </c>
      <c r="J26" s="82">
        <f t="shared" si="2"/>
        <v>0.45664196097286608</v>
      </c>
      <c r="K26" s="82">
        <v>1190.7170000000001</v>
      </c>
      <c r="L26" s="341">
        <f t="shared" si="1"/>
        <v>0.54010078834447672</v>
      </c>
      <c r="M26" s="6"/>
      <c r="N26" s="6" t="s">
        <v>398</v>
      </c>
      <c r="O26" s="6">
        <v>14.3</v>
      </c>
      <c r="P26" s="6"/>
      <c r="Q26" s="6"/>
      <c r="R26" s="344"/>
    </row>
    <row r="27" spans="1:20">
      <c r="A27" s="134" t="s">
        <v>392</v>
      </c>
      <c r="B27" s="134" t="s">
        <v>101</v>
      </c>
      <c r="C27" s="136">
        <v>0.41</v>
      </c>
      <c r="D27" s="134" t="s">
        <v>380</v>
      </c>
      <c r="E27" s="134">
        <f>0.401*0.57</f>
        <v>0.22857</v>
      </c>
      <c r="F27" s="80"/>
      <c r="G27" s="6" t="s">
        <v>399</v>
      </c>
      <c r="H27" s="6" t="s">
        <v>400</v>
      </c>
      <c r="I27" s="6">
        <v>809.596</v>
      </c>
      <c r="J27" s="82">
        <f t="shared" si="2"/>
        <v>0.36722700510745621</v>
      </c>
      <c r="K27" s="82">
        <v>811.29100000000005</v>
      </c>
      <c r="L27" s="341">
        <f t="shared" si="1"/>
        <v>0.36799584508894961</v>
      </c>
      <c r="M27" s="6"/>
      <c r="N27" s="6" t="s">
        <v>401</v>
      </c>
      <c r="O27" s="6"/>
      <c r="P27" s="6"/>
      <c r="Q27" s="6"/>
      <c r="R27" s="344"/>
    </row>
    <row r="28" spans="1:20" ht="24" customHeight="1">
      <c r="A28" s="134" t="s">
        <v>402</v>
      </c>
      <c r="B28" s="134"/>
      <c r="C28" s="134"/>
      <c r="D28" s="134"/>
      <c r="E28" s="134"/>
      <c r="F28" s="80"/>
      <c r="G28" s="6" t="s">
        <v>403</v>
      </c>
      <c r="H28" s="6" t="s">
        <v>404</v>
      </c>
      <c r="I28" s="81">
        <v>1595.941</v>
      </c>
      <c r="J28" s="82">
        <f t="shared" si="2"/>
        <v>0.72390752147762427</v>
      </c>
      <c r="K28" s="82">
        <v>1603.82</v>
      </c>
      <c r="L28" s="341">
        <f t="shared" si="1"/>
        <v>0.72748138001106766</v>
      </c>
      <c r="M28" s="6"/>
      <c r="N28" s="6" t="s">
        <v>405</v>
      </c>
      <c r="O28" s="359">
        <v>5</v>
      </c>
      <c r="P28" s="6"/>
      <c r="Q28" s="6"/>
      <c r="R28" s="344"/>
    </row>
    <row r="29" spans="1:20">
      <c r="F29" s="80"/>
      <c r="G29" s="6" t="s">
        <v>406</v>
      </c>
      <c r="H29" s="6" t="s">
        <v>407</v>
      </c>
      <c r="I29" s="81">
        <v>973.98099999999999</v>
      </c>
      <c r="J29" s="82">
        <f t="shared" si="2"/>
        <v>0.44179087552503382</v>
      </c>
      <c r="K29" s="82">
        <v>980.65600000000006</v>
      </c>
      <c r="L29" s="341">
        <f t="shared" si="1"/>
        <v>0.44481860819551672</v>
      </c>
      <c r="M29" s="6"/>
      <c r="N29" s="6" t="s">
        <v>408</v>
      </c>
      <c r="O29" s="6"/>
      <c r="P29" s="6"/>
      <c r="Q29" s="6"/>
      <c r="R29" s="344"/>
    </row>
    <row r="30" spans="1:20">
      <c r="A30" s="586" t="s">
        <v>409</v>
      </c>
      <c r="B30" s="586"/>
      <c r="C30" s="586"/>
      <c r="D30" s="586"/>
      <c r="E30" s="586"/>
      <c r="G30" s="6" t="s">
        <v>410</v>
      </c>
      <c r="H30" s="6" t="s">
        <v>411</v>
      </c>
      <c r="I30" s="81">
        <v>955.58699999999999</v>
      </c>
      <c r="J30" s="82">
        <f t="shared" si="2"/>
        <v>0.43344748754887463</v>
      </c>
      <c r="K30" s="82">
        <v>955.80199999999991</v>
      </c>
      <c r="L30" s="341">
        <f t="shared" si="1"/>
        <v>0.43354501002440327</v>
      </c>
      <c r="M30" s="6"/>
      <c r="N30" s="6" t="s">
        <v>412</v>
      </c>
      <c r="O30" s="6"/>
      <c r="P30" s="6"/>
      <c r="Q30" s="6"/>
      <c r="R30" s="344"/>
    </row>
    <row r="31" spans="1:20">
      <c r="A31" s="586"/>
      <c r="B31" s="586"/>
      <c r="C31" s="586"/>
      <c r="D31" s="586"/>
      <c r="E31" s="586"/>
      <c r="G31" s="6" t="s">
        <v>413</v>
      </c>
      <c r="H31" s="6" t="s">
        <v>414</v>
      </c>
      <c r="I31" s="6">
        <v>679.14200000000005</v>
      </c>
      <c r="J31" s="82">
        <f t="shared" si="2"/>
        <v>0.30805399569993924</v>
      </c>
      <c r="K31" s="82">
        <v>682.07500000000005</v>
      </c>
      <c r="L31" s="341">
        <f t="shared" si="1"/>
        <v>0.309384383703314</v>
      </c>
      <c r="M31" s="6"/>
      <c r="N31" s="6" t="s">
        <v>415</v>
      </c>
      <c r="O31" s="6"/>
      <c r="P31" s="6"/>
      <c r="Q31" s="6"/>
      <c r="R31" s="344"/>
    </row>
    <row r="32" spans="1:20">
      <c r="A32" s="586"/>
      <c r="B32" s="586"/>
      <c r="C32" s="586"/>
      <c r="D32" s="586"/>
      <c r="E32" s="586"/>
      <c r="M32" s="6"/>
      <c r="N32" s="6" t="s">
        <v>416</v>
      </c>
      <c r="O32" s="6"/>
      <c r="P32" s="6"/>
      <c r="Q32" s="6"/>
      <c r="R32" s="344"/>
    </row>
    <row r="33" spans="1:18">
      <c r="A33" s="586"/>
      <c r="B33" s="586"/>
      <c r="C33" s="586"/>
      <c r="D33" s="586"/>
      <c r="E33" s="586"/>
      <c r="M33" s="6" t="s">
        <v>417</v>
      </c>
      <c r="N33" s="6" t="s">
        <v>418</v>
      </c>
      <c r="O33" s="6"/>
      <c r="P33" s="6">
        <v>0.27315</v>
      </c>
      <c r="Q33" s="6">
        <v>0.51415</v>
      </c>
      <c r="R33" s="344">
        <v>0.56167999999999996</v>
      </c>
    </row>
    <row r="34" spans="1:18">
      <c r="A34" s="586"/>
      <c r="B34" s="586"/>
      <c r="C34" s="586"/>
      <c r="D34" s="586"/>
      <c r="E34" s="586"/>
      <c r="M34" s="6"/>
      <c r="N34" s="6" t="s">
        <v>419</v>
      </c>
      <c r="O34" s="6"/>
      <c r="P34" s="6"/>
      <c r="Q34" s="6"/>
      <c r="R34" s="344"/>
    </row>
    <row r="35" spans="1:18">
      <c r="A35" s="586"/>
      <c r="B35" s="586"/>
      <c r="C35" s="586"/>
      <c r="D35" s="586"/>
      <c r="E35" s="586"/>
      <c r="M35" s="6" t="s">
        <v>420</v>
      </c>
      <c r="N35" s="6" t="s">
        <v>421</v>
      </c>
      <c r="O35" s="6"/>
      <c r="P35" s="6">
        <v>0.67728999999999995</v>
      </c>
      <c r="Q35" s="6">
        <v>0.67564999999999997</v>
      </c>
      <c r="R35" s="344">
        <v>0.77021000000000006</v>
      </c>
    </row>
    <row r="36" spans="1:18" ht="15.95" customHeight="1">
      <c r="A36" s="586"/>
      <c r="B36" s="586"/>
      <c r="C36" s="586"/>
      <c r="D36" s="586"/>
      <c r="E36" s="586"/>
      <c r="G36" s="23">
        <f>181.234196879276/1000000</f>
        <v>1.8123419687927599E-4</v>
      </c>
      <c r="M36" s="6" t="s">
        <v>422</v>
      </c>
      <c r="N36" s="6" t="s">
        <v>423</v>
      </c>
      <c r="O36" s="6">
        <v>36.6</v>
      </c>
      <c r="P36" s="6">
        <v>0.54464999999999997</v>
      </c>
      <c r="Q36" s="6">
        <v>0.59511000000000003</v>
      </c>
      <c r="R36" s="344">
        <v>0.61229999999999996</v>
      </c>
    </row>
    <row r="37" spans="1:18" ht="15.95" customHeight="1">
      <c r="A37" s="586"/>
      <c r="B37" s="586"/>
      <c r="C37" s="586"/>
      <c r="D37" s="586"/>
      <c r="E37" s="586"/>
      <c r="M37" s="6"/>
      <c r="N37" s="6" t="s">
        <v>424</v>
      </c>
      <c r="O37" s="6"/>
      <c r="P37" s="6"/>
      <c r="Q37" s="6"/>
      <c r="R37" s="344"/>
    </row>
    <row r="38" spans="1:18" ht="21.95" customHeight="1">
      <c r="A38" s="586"/>
      <c r="B38" s="586"/>
      <c r="C38" s="586"/>
      <c r="D38" s="586"/>
      <c r="E38" s="586"/>
      <c r="M38" s="6"/>
      <c r="N38" s="6" t="s">
        <v>425</v>
      </c>
      <c r="O38" s="6"/>
      <c r="P38" s="6"/>
      <c r="Q38" s="6"/>
      <c r="R38" s="344"/>
    </row>
    <row r="39" spans="1:18">
      <c r="A39" s="586"/>
      <c r="B39" s="586"/>
      <c r="C39" s="586"/>
      <c r="D39" s="586"/>
      <c r="E39" s="586"/>
      <c r="M39" s="6" t="s">
        <v>426</v>
      </c>
      <c r="N39" s="6" t="s">
        <v>427</v>
      </c>
      <c r="O39" s="6"/>
      <c r="P39" s="6">
        <v>0.15443999999999999</v>
      </c>
      <c r="Q39" s="6">
        <v>0.46521000000000001</v>
      </c>
      <c r="R39" s="344">
        <v>0.50936999999999999</v>
      </c>
    </row>
    <row r="40" spans="1:18">
      <c r="M40" s="6"/>
      <c r="N40" s="6" t="s">
        <v>428</v>
      </c>
      <c r="O40" s="6"/>
      <c r="P40" s="6"/>
      <c r="Q40" s="6"/>
      <c r="R40" s="344"/>
    </row>
    <row r="41" spans="1:18">
      <c r="M41" s="6"/>
      <c r="N41" s="6" t="s">
        <v>429</v>
      </c>
      <c r="O41" s="6"/>
      <c r="P41" s="6"/>
      <c r="Q41" s="6"/>
      <c r="R41" s="344"/>
    </row>
    <row r="42" spans="1:18">
      <c r="M42" s="6"/>
      <c r="N42" s="6" t="s">
        <v>430</v>
      </c>
      <c r="O42" s="6"/>
      <c r="P42" s="6"/>
      <c r="Q42" s="6"/>
      <c r="R42" s="344"/>
    </row>
    <row r="43" spans="1:18">
      <c r="M43" s="6"/>
      <c r="N43" s="6" t="s">
        <v>431</v>
      </c>
      <c r="O43" s="6"/>
      <c r="P43" s="6"/>
      <c r="Q43" s="6"/>
      <c r="R43" s="344"/>
    </row>
    <row r="44" spans="1:18">
      <c r="M44" s="6"/>
      <c r="N44" s="6" t="s">
        <v>432</v>
      </c>
      <c r="O44" s="6"/>
      <c r="P44" s="6"/>
      <c r="Q44" s="6"/>
      <c r="R44" s="344"/>
    </row>
    <row r="45" spans="1:18">
      <c r="M45" s="6" t="s">
        <v>433</v>
      </c>
      <c r="N45" s="6" t="s">
        <v>434</v>
      </c>
      <c r="O45" s="6"/>
      <c r="P45" s="6">
        <v>0.72328000000000003</v>
      </c>
      <c r="Q45" s="6">
        <v>0.75770999999999999</v>
      </c>
      <c r="R45" s="344">
        <v>1.0432900000000001</v>
      </c>
    </row>
    <row r="46" spans="1:18">
      <c r="M46" s="6"/>
      <c r="N46" s="6" t="s">
        <v>435</v>
      </c>
      <c r="O46" s="6"/>
      <c r="P46" s="6"/>
      <c r="Q46" s="6"/>
      <c r="R46" s="344"/>
    </row>
    <row r="47" spans="1:18">
      <c r="M47" s="6" t="s">
        <v>436</v>
      </c>
      <c r="N47" s="6" t="s">
        <v>437</v>
      </c>
      <c r="O47" s="6">
        <v>32.799999999999997</v>
      </c>
      <c r="P47" s="6">
        <v>0.13622000000000001</v>
      </c>
      <c r="Q47" s="6">
        <v>0.31013000000000002</v>
      </c>
      <c r="R47" s="344">
        <v>0.30163999999999996</v>
      </c>
    </row>
    <row r="48" spans="1:18">
      <c r="M48" s="6" t="s">
        <v>438</v>
      </c>
      <c r="N48" s="6" t="s">
        <v>439</v>
      </c>
      <c r="O48" s="359">
        <v>69</v>
      </c>
      <c r="P48" s="6">
        <v>3.8949999999999999E-2</v>
      </c>
      <c r="Q48" s="6">
        <v>4.3189999999999999E-2</v>
      </c>
      <c r="R48" s="344">
        <v>5.3200000000000004E-2</v>
      </c>
    </row>
    <row r="49" spans="13:18">
      <c r="M49" s="6"/>
      <c r="N49" s="6" t="s">
        <v>440</v>
      </c>
      <c r="O49" s="6"/>
      <c r="P49" s="6"/>
      <c r="Q49" s="6"/>
      <c r="R49" s="344"/>
    </row>
    <row r="50" spans="13:18">
      <c r="M50" s="6"/>
      <c r="N50" s="6" t="s">
        <v>441</v>
      </c>
      <c r="O50" s="6"/>
      <c r="P50" s="6"/>
      <c r="Q50" s="6"/>
      <c r="R50" s="344"/>
    </row>
    <row r="51" spans="13:18">
      <c r="M51" s="6" t="s">
        <v>442</v>
      </c>
      <c r="N51" s="6" t="s">
        <v>443</v>
      </c>
      <c r="O51" s="6">
        <v>11.9</v>
      </c>
      <c r="P51" s="6">
        <v>0.37862000000000001</v>
      </c>
      <c r="Q51" s="6">
        <v>0.60936999999999997</v>
      </c>
      <c r="R51" s="344">
        <v>0.72869000000000006</v>
      </c>
    </row>
    <row r="52" spans="13:18">
      <c r="M52" s="6"/>
      <c r="N52" s="6" t="s">
        <v>444</v>
      </c>
      <c r="O52" s="6"/>
      <c r="P52" s="6"/>
      <c r="Q52" s="6"/>
      <c r="R52" s="344"/>
    </row>
    <row r="53" spans="13:18">
      <c r="M53" s="6"/>
      <c r="N53" s="6" t="s">
        <v>445</v>
      </c>
      <c r="O53" s="6"/>
      <c r="P53" s="6"/>
      <c r="Q53" s="6"/>
      <c r="R53" s="344"/>
    </row>
    <row r="54" spans="13:18">
      <c r="M54" s="6" t="s">
        <v>446</v>
      </c>
      <c r="N54" s="6" t="s">
        <v>447</v>
      </c>
      <c r="O54" s="6"/>
      <c r="P54" s="6">
        <v>0.54901</v>
      </c>
      <c r="Q54" s="6">
        <v>0.57743999999999995</v>
      </c>
      <c r="R54" s="344">
        <v>0.69583000000000006</v>
      </c>
    </row>
    <row r="55" spans="13:18">
      <c r="M55" s="6"/>
      <c r="N55" s="6" t="s">
        <v>448</v>
      </c>
      <c r="O55" s="6"/>
      <c r="R55" s="344"/>
    </row>
    <row r="56" spans="13:18">
      <c r="M56" s="6"/>
      <c r="N56" s="6" t="s">
        <v>449</v>
      </c>
      <c r="O56" s="6"/>
      <c r="P56" s="6"/>
      <c r="Q56" s="6"/>
      <c r="R56" s="344"/>
    </row>
    <row r="57" spans="13:18">
      <c r="M57" s="6"/>
      <c r="N57" s="6" t="s">
        <v>450</v>
      </c>
      <c r="O57" s="6"/>
      <c r="P57" s="6"/>
      <c r="Q57" s="6"/>
      <c r="R57" s="344"/>
    </row>
    <row r="58" spans="13:18">
      <c r="M58" s="6"/>
      <c r="N58" s="6" t="s">
        <v>451</v>
      </c>
      <c r="O58" s="6"/>
      <c r="P58" s="6"/>
      <c r="Q58" s="6"/>
      <c r="R58" s="344"/>
    </row>
    <row r="59" spans="13:18">
      <c r="M59" s="6" t="s">
        <v>452</v>
      </c>
      <c r="N59" s="6" t="s">
        <v>453</v>
      </c>
      <c r="O59" s="6">
        <v>46.8</v>
      </c>
      <c r="P59" s="6">
        <v>0.25297999999999998</v>
      </c>
      <c r="Q59" s="6">
        <v>0.28573999999999999</v>
      </c>
      <c r="R59" s="344">
        <v>0.37898000000000004</v>
      </c>
    </row>
    <row r="60" spans="13:18">
      <c r="M60" s="6" t="s">
        <v>454</v>
      </c>
      <c r="N60" s="6" t="s">
        <v>455</v>
      </c>
      <c r="O60" s="6"/>
      <c r="P60" s="6">
        <v>0.11</v>
      </c>
      <c r="Q60" s="353">
        <v>0.39367000000000002</v>
      </c>
      <c r="R60" s="344">
        <v>0.48224</v>
      </c>
    </row>
    <row r="61" spans="13:18">
      <c r="M61" s="6"/>
      <c r="N61" s="6" t="s">
        <v>456</v>
      </c>
      <c r="O61" s="6">
        <v>3.2</v>
      </c>
      <c r="P61" s="6"/>
      <c r="Q61" s="6"/>
      <c r="R61" s="344"/>
    </row>
    <row r="62" spans="13:18">
      <c r="M62" s="6"/>
      <c r="N62" s="6" t="s">
        <v>457</v>
      </c>
      <c r="O62" s="6"/>
      <c r="P62" s="6"/>
      <c r="Q62" s="6"/>
      <c r="R62" s="344"/>
    </row>
    <row r="63" spans="13:18">
      <c r="M63" s="6"/>
      <c r="N63" s="6" t="s">
        <v>458</v>
      </c>
      <c r="O63" s="6"/>
      <c r="P63" s="6"/>
      <c r="Q63" s="6"/>
      <c r="R63" s="344"/>
    </row>
    <row r="64" spans="13:18">
      <c r="M64" s="6" t="s">
        <v>459</v>
      </c>
      <c r="N64" s="6" t="s">
        <v>460</v>
      </c>
      <c r="O64" s="6"/>
      <c r="P64" s="6">
        <v>0.34804000000000002</v>
      </c>
      <c r="Q64" s="6">
        <v>0.49514999999999998</v>
      </c>
      <c r="R64" s="344">
        <v>0.64034999999999997</v>
      </c>
    </row>
    <row r="65" spans="13:18">
      <c r="M65" s="6"/>
      <c r="N65" s="6" t="s">
        <v>461</v>
      </c>
      <c r="O65" s="359">
        <v>1</v>
      </c>
      <c r="P65" s="6"/>
      <c r="Q65" s="6"/>
      <c r="R65" s="344"/>
    </row>
    <row r="66" spans="13:18">
      <c r="M66" s="6"/>
      <c r="N66" s="6" t="s">
        <v>462</v>
      </c>
      <c r="O66" s="6"/>
      <c r="P66" s="6"/>
      <c r="Q66" s="6"/>
      <c r="R66" s="344"/>
    </row>
    <row r="67" spans="13:18">
      <c r="M67" s="6" t="s">
        <v>463</v>
      </c>
      <c r="N67" s="6" t="s">
        <v>464</v>
      </c>
      <c r="O67" s="6"/>
      <c r="P67" s="6">
        <v>0.33854000000000001</v>
      </c>
      <c r="Q67" s="6">
        <v>0.46589000000000003</v>
      </c>
      <c r="R67" s="344">
        <v>0.48723</v>
      </c>
    </row>
    <row r="68" spans="13:18">
      <c r="M68" s="6"/>
      <c r="N68" s="6" t="s">
        <v>465</v>
      </c>
      <c r="O68" s="6"/>
      <c r="P68" s="6"/>
      <c r="Q68" s="6"/>
      <c r="R68" s="344"/>
    </row>
    <row r="69" spans="13:18">
      <c r="M69" s="6"/>
      <c r="N69" s="6" t="s">
        <v>466</v>
      </c>
      <c r="O69" s="6">
        <v>7.2</v>
      </c>
      <c r="P69" s="6"/>
      <c r="Q69" s="6"/>
      <c r="R69" s="344"/>
    </row>
    <row r="70" spans="13:18">
      <c r="M70" s="6"/>
      <c r="N70" s="6" t="s">
        <v>467</v>
      </c>
      <c r="O70" s="6"/>
      <c r="P70" s="6"/>
      <c r="Q70" s="6"/>
      <c r="R70" s="344"/>
    </row>
    <row r="71" spans="13:18">
      <c r="M71" s="6"/>
      <c r="N71" s="6" t="s">
        <v>468</v>
      </c>
      <c r="O71" s="6"/>
      <c r="P71" s="6"/>
      <c r="Q71" s="6"/>
      <c r="R71" s="344"/>
    </row>
    <row r="72" spans="13:18">
      <c r="M72" s="6"/>
      <c r="N72" s="6" t="s">
        <v>469</v>
      </c>
      <c r="O72" s="6"/>
      <c r="P72" s="6"/>
      <c r="Q72" s="6"/>
      <c r="R72" s="344"/>
    </row>
    <row r="73" spans="13:18">
      <c r="M73" s="6"/>
      <c r="N73" s="6" t="s">
        <v>470</v>
      </c>
      <c r="O73" s="359">
        <v>28</v>
      </c>
      <c r="P73" s="6"/>
      <c r="Q73" s="6"/>
      <c r="R73" s="344"/>
    </row>
    <row r="74" spans="13:18">
      <c r="M74" s="6"/>
      <c r="N74" s="6" t="s">
        <v>471</v>
      </c>
      <c r="O74" s="6"/>
      <c r="P74" s="6"/>
      <c r="Q74" s="6"/>
      <c r="R74" s="344"/>
    </row>
    <row r="75" spans="13:18">
      <c r="M75" s="6"/>
      <c r="N75" s="6" t="s">
        <v>472</v>
      </c>
      <c r="O75" s="6"/>
      <c r="P75" s="6"/>
      <c r="Q75" s="6"/>
      <c r="R75" s="344"/>
    </row>
    <row r="76" spans="13:18">
      <c r="M76" s="6" t="s">
        <v>473</v>
      </c>
      <c r="N76" s="6" t="s">
        <v>474</v>
      </c>
      <c r="O76" s="6"/>
      <c r="P76" s="6">
        <v>0.30332999999999999</v>
      </c>
      <c r="Q76" s="6">
        <v>0.31524000000000002</v>
      </c>
      <c r="R76" s="344">
        <v>0.32275999999999999</v>
      </c>
    </row>
    <row r="77" spans="13:18">
      <c r="M77" s="6"/>
      <c r="N77" s="6" t="s">
        <v>475</v>
      </c>
      <c r="O77" s="6"/>
      <c r="P77" s="6"/>
      <c r="Q77" s="6"/>
      <c r="R77" s="344"/>
    </row>
    <row r="78" spans="13:18">
      <c r="M78" s="6"/>
      <c r="N78" s="6" t="s">
        <v>476</v>
      </c>
      <c r="O78" s="6"/>
      <c r="P78" s="6"/>
      <c r="Q78" s="6"/>
      <c r="R78" s="344"/>
    </row>
    <row r="79" spans="13:18">
      <c r="M79" s="6" t="s">
        <v>477</v>
      </c>
      <c r="N79" s="6" t="s">
        <v>478</v>
      </c>
      <c r="O79" s="6"/>
      <c r="P79" s="6">
        <v>0.14913000000000001</v>
      </c>
      <c r="Q79" s="6">
        <v>0.35193000000000002</v>
      </c>
      <c r="R79" s="344">
        <v>0.38073000000000001</v>
      </c>
    </row>
    <row r="80" spans="13:18">
      <c r="M80" s="6" t="s">
        <v>479</v>
      </c>
      <c r="N80" s="6" t="s">
        <v>480</v>
      </c>
      <c r="O80" s="6"/>
      <c r="P80" s="6">
        <v>0.13938999999999999</v>
      </c>
      <c r="Q80" s="6">
        <v>0.44933000000000001</v>
      </c>
      <c r="R80" s="344">
        <v>0.36120999999999998</v>
      </c>
    </row>
    <row r="81" spans="13:18">
      <c r="M81" s="6"/>
      <c r="N81" s="6" t="s">
        <v>481</v>
      </c>
      <c r="O81" s="6"/>
      <c r="P81" s="6"/>
      <c r="Q81" s="6"/>
      <c r="R81" s="344"/>
    </row>
    <row r="82" spans="13:18">
      <c r="M82" s="6" t="s">
        <v>482</v>
      </c>
      <c r="N82" s="6" t="s">
        <v>483</v>
      </c>
      <c r="O82" s="6"/>
      <c r="P82" s="6">
        <v>0.37059999999999998</v>
      </c>
      <c r="Q82" s="6">
        <v>0.37835000000000002</v>
      </c>
      <c r="R82" s="344">
        <v>0.66891999999999996</v>
      </c>
    </row>
    <row r="83" spans="13:18">
      <c r="M83" s="6"/>
      <c r="N83" s="6" t="s">
        <v>484</v>
      </c>
      <c r="O83" s="6">
        <v>5.3</v>
      </c>
      <c r="P83" s="6"/>
      <c r="Q83" s="6"/>
      <c r="R83" s="344"/>
    </row>
    <row r="84" spans="13:18">
      <c r="M84" s="6"/>
      <c r="N84" s="6" t="s">
        <v>485</v>
      </c>
      <c r="O84" s="6"/>
      <c r="P84" s="6"/>
      <c r="Q84" s="6"/>
      <c r="R84" s="344"/>
    </row>
    <row r="85" spans="13:18">
      <c r="M85" s="6"/>
      <c r="N85" s="6" t="s">
        <v>486</v>
      </c>
      <c r="O85" s="6"/>
      <c r="P85" s="6"/>
      <c r="Q85" s="6"/>
      <c r="R85" s="344"/>
    </row>
    <row r="86" spans="13:18">
      <c r="M86" s="6"/>
      <c r="N86" s="6" t="s">
        <v>487</v>
      </c>
      <c r="O86" s="6"/>
      <c r="P86" s="6"/>
      <c r="Q86" s="6"/>
      <c r="R86" s="344"/>
    </row>
    <row r="87" spans="13:18">
      <c r="M87" s="6"/>
      <c r="N87" s="6" t="s">
        <v>488</v>
      </c>
      <c r="O87" s="6"/>
      <c r="P87" s="6"/>
      <c r="Q87" s="6"/>
      <c r="R87" s="344"/>
    </row>
    <row r="88" spans="13:18">
      <c r="M88" s="6"/>
      <c r="N88" s="6" t="s">
        <v>489</v>
      </c>
      <c r="O88" s="6"/>
      <c r="P88" s="6"/>
      <c r="Q88" s="6"/>
      <c r="R88" s="344"/>
    </row>
    <row r="89" spans="13:18">
      <c r="M89" s="6"/>
      <c r="N89" s="6" t="s">
        <v>490</v>
      </c>
      <c r="O89" s="6"/>
      <c r="P89" s="6"/>
      <c r="Q89" s="6"/>
      <c r="R89" s="344"/>
    </row>
    <row r="90" spans="13:18">
      <c r="M90" s="6"/>
      <c r="N90" s="6" t="s">
        <v>491</v>
      </c>
      <c r="O90" s="6"/>
      <c r="P90" s="6"/>
      <c r="Q90" s="6"/>
      <c r="R90" s="344"/>
    </row>
    <row r="91" spans="13:18">
      <c r="M91" s="6" t="s">
        <v>492</v>
      </c>
      <c r="N91" s="6" t="s">
        <v>493</v>
      </c>
      <c r="O91" s="6">
        <v>3.1</v>
      </c>
      <c r="P91" s="6">
        <v>0.45207000000000003</v>
      </c>
      <c r="Q91" s="6">
        <v>0.55520999999999998</v>
      </c>
      <c r="R91" s="344">
        <v>0.53339000000000003</v>
      </c>
    </row>
    <row r="92" spans="13:18">
      <c r="M92" s="6"/>
      <c r="N92" s="6" t="s">
        <v>494</v>
      </c>
      <c r="O92" s="6"/>
      <c r="P92" s="6"/>
      <c r="Q92" s="6"/>
      <c r="R92" s="344"/>
    </row>
    <row r="93" spans="13:18">
      <c r="M93" s="6"/>
      <c r="N93" s="6" t="s">
        <v>495</v>
      </c>
      <c r="O93" s="6"/>
      <c r="P93" s="6"/>
      <c r="Q93" s="6"/>
      <c r="R93" s="344"/>
    </row>
    <row r="94" spans="13:18">
      <c r="M94" s="6"/>
      <c r="N94" s="6" t="s">
        <v>496</v>
      </c>
      <c r="O94" s="6"/>
      <c r="P94" s="6"/>
      <c r="Q94" s="6"/>
      <c r="R94" s="344"/>
    </row>
    <row r="95" spans="13:18">
      <c r="M95" s="6"/>
      <c r="N95" s="6" t="s">
        <v>497</v>
      </c>
      <c r="O95" s="6"/>
      <c r="P95" s="6"/>
      <c r="Q95" s="6"/>
      <c r="R95" s="344"/>
    </row>
    <row r="96" spans="13:18">
      <c r="M96" s="6"/>
      <c r="N96" s="6" t="s">
        <v>498</v>
      </c>
      <c r="O96" s="6"/>
      <c r="P96" s="6"/>
      <c r="Q96" s="6"/>
      <c r="R96" s="344"/>
    </row>
    <row r="97" spans="13:18">
      <c r="M97" s="6" t="s">
        <v>499</v>
      </c>
      <c r="N97" s="6" t="s">
        <v>500</v>
      </c>
      <c r="O97" s="6"/>
      <c r="P97" s="6">
        <v>1.1180000000000001E-2</v>
      </c>
      <c r="Q97" s="6">
        <v>0.39627000000000001</v>
      </c>
      <c r="R97" s="344">
        <v>0.28049000000000002</v>
      </c>
    </row>
    <row r="98" spans="13:18">
      <c r="M98" s="6"/>
      <c r="N98" s="6" t="s">
        <v>501</v>
      </c>
      <c r="O98" s="6"/>
      <c r="P98" s="6"/>
      <c r="Q98" s="6"/>
      <c r="R98" s="344"/>
    </row>
    <row r="99" spans="13:18">
      <c r="M99" s="6"/>
      <c r="N99" s="6" t="s">
        <v>502</v>
      </c>
      <c r="O99" s="6"/>
      <c r="P99" s="6"/>
      <c r="Q99" s="6"/>
      <c r="R99" s="344"/>
    </row>
    <row r="100" spans="13:18">
      <c r="M100" s="6"/>
      <c r="N100" s="6" t="s">
        <v>503</v>
      </c>
      <c r="O100" s="6"/>
      <c r="P100" s="6"/>
      <c r="Q100" s="6"/>
      <c r="R100" s="344"/>
    </row>
    <row r="101" spans="13:18">
      <c r="M101" s="6"/>
      <c r="N101" s="6" t="s">
        <v>504</v>
      </c>
      <c r="O101" s="6"/>
      <c r="P101" s="6"/>
      <c r="Q101" s="6"/>
      <c r="R101" s="344"/>
    </row>
    <row r="102" spans="13:18">
      <c r="M102" s="6"/>
      <c r="N102" s="6" t="s">
        <v>505</v>
      </c>
      <c r="O102" s="6">
        <v>10.6</v>
      </c>
      <c r="P102" s="6"/>
      <c r="Q102" s="6"/>
      <c r="R102" s="344"/>
    </row>
    <row r="103" spans="13:18">
      <c r="M103" s="6"/>
      <c r="N103" s="6" t="s">
        <v>506</v>
      </c>
      <c r="O103" s="6"/>
      <c r="P103" s="6"/>
      <c r="Q103" s="6"/>
      <c r="R103" s="344"/>
    </row>
    <row r="104" spans="13:18">
      <c r="M104" s="6"/>
      <c r="N104" s="6" t="s">
        <v>507</v>
      </c>
      <c r="O104" s="6"/>
      <c r="P104" s="6"/>
      <c r="Q104" s="6"/>
      <c r="R104" s="344"/>
    </row>
    <row r="105" spans="13:18">
      <c r="M105" s="6"/>
      <c r="N105" s="6" t="s">
        <v>508</v>
      </c>
      <c r="O105" s="6"/>
      <c r="P105" s="6"/>
      <c r="Q105" s="6"/>
      <c r="R105" s="344"/>
    </row>
    <row r="106" spans="13:18">
      <c r="M106" s="6"/>
      <c r="N106" s="6" t="s">
        <v>509</v>
      </c>
      <c r="O106" s="6"/>
      <c r="P106" s="6"/>
      <c r="Q106" s="6"/>
      <c r="R106" s="344"/>
    </row>
    <row r="107" spans="13:18">
      <c r="M107" s="6"/>
      <c r="N107" s="6" t="s">
        <v>510</v>
      </c>
      <c r="O107" s="6"/>
      <c r="P107" s="6"/>
      <c r="Q107" s="6"/>
      <c r="R107" s="344"/>
    </row>
    <row r="108" spans="13:18">
      <c r="M108" s="6" t="s">
        <v>511</v>
      </c>
      <c r="N108" s="6" t="s">
        <v>512</v>
      </c>
      <c r="O108" s="6"/>
      <c r="P108" s="6">
        <v>0.79107000000000005</v>
      </c>
      <c r="Q108" s="6">
        <v>0.81096999999999997</v>
      </c>
      <c r="R108" s="344">
        <v>0.90461999999999998</v>
      </c>
    </row>
    <row r="109" spans="13:18">
      <c r="M109" s="6" t="s">
        <v>513</v>
      </c>
      <c r="N109" s="6" t="s">
        <v>514</v>
      </c>
      <c r="O109" s="6"/>
      <c r="P109" s="6">
        <v>0.25255</v>
      </c>
      <c r="Q109" s="6">
        <v>0.26502999999999999</v>
      </c>
      <c r="R109" s="344">
        <v>0.31551999999999997</v>
      </c>
    </row>
    <row r="110" spans="13:18">
      <c r="M110" s="6"/>
      <c r="N110" s="6" t="s">
        <v>515</v>
      </c>
      <c r="O110" s="6"/>
      <c r="P110" s="6"/>
      <c r="Q110" s="6"/>
      <c r="R110" s="344"/>
    </row>
    <row r="111" spans="13:18">
      <c r="M111" s="6"/>
      <c r="N111" s="6" t="s">
        <v>516</v>
      </c>
      <c r="O111" s="6"/>
      <c r="P111" s="6"/>
      <c r="Q111" s="6"/>
      <c r="R111" s="344"/>
    </row>
    <row r="112" spans="13:18">
      <c r="M112" s="6" t="s">
        <v>517</v>
      </c>
      <c r="N112" s="6" t="s">
        <v>518</v>
      </c>
      <c r="O112" s="6">
        <v>18.5</v>
      </c>
      <c r="P112" s="6">
        <v>0.31011</v>
      </c>
      <c r="Q112" s="6">
        <v>0.31068000000000001</v>
      </c>
      <c r="R112" s="344">
        <v>0.40258999999999995</v>
      </c>
    </row>
    <row r="113" spans="13:18">
      <c r="M113" s="6"/>
      <c r="N113" s="6" t="s">
        <v>519</v>
      </c>
      <c r="O113" s="359">
        <v>20</v>
      </c>
      <c r="P113" s="6"/>
      <c r="Q113" s="6"/>
      <c r="R113" s="344"/>
    </row>
    <row r="114" spans="13:18">
      <c r="M114" s="6"/>
      <c r="N114" s="6" t="s">
        <v>520</v>
      </c>
      <c r="O114" s="6"/>
      <c r="P114" s="6"/>
      <c r="Q114" s="6"/>
      <c r="R114" s="344"/>
    </row>
    <row r="115" spans="13:18">
      <c r="M115" s="6"/>
      <c r="N115" s="6" t="s">
        <v>521</v>
      </c>
      <c r="O115" s="6"/>
      <c r="P115" s="6"/>
      <c r="Q115" s="6"/>
      <c r="R115" s="344"/>
    </row>
    <row r="116" spans="13:18">
      <c r="M116" s="6"/>
      <c r="N116" s="6" t="s">
        <v>522</v>
      </c>
      <c r="O116" s="6"/>
      <c r="P116" s="6"/>
      <c r="Q116" s="6"/>
      <c r="R116" s="344"/>
    </row>
    <row r="117" spans="13:18">
      <c r="M117" s="6"/>
      <c r="N117" s="6" t="s">
        <v>523</v>
      </c>
      <c r="O117" s="6"/>
      <c r="P117" s="6"/>
      <c r="Q117" s="6"/>
      <c r="R117" s="344"/>
    </row>
    <row r="118" spans="13:18">
      <c r="M118" s="6" t="s">
        <v>524</v>
      </c>
      <c r="N118" s="6" t="s">
        <v>525</v>
      </c>
      <c r="O118" s="6">
        <v>52.3</v>
      </c>
      <c r="P118" s="6">
        <v>0.15110000000000001</v>
      </c>
      <c r="Q118" s="6">
        <v>0.19858999999999999</v>
      </c>
      <c r="R118" s="344">
        <v>0.19394999999999998</v>
      </c>
    </row>
    <row r="119" spans="13:18">
      <c r="M119" s="6" t="s">
        <v>526</v>
      </c>
      <c r="N119" s="6" t="s">
        <v>527</v>
      </c>
      <c r="O119" s="6">
        <v>36.9</v>
      </c>
      <c r="P119" s="6">
        <v>0.24385000000000001</v>
      </c>
      <c r="Q119" s="6">
        <v>0.36412</v>
      </c>
      <c r="R119" s="344">
        <v>0.50223000000000007</v>
      </c>
    </row>
    <row r="120" spans="13:18">
      <c r="M120" s="6"/>
      <c r="N120" s="6" t="s">
        <v>528</v>
      </c>
      <c r="O120" s="359">
        <v>6</v>
      </c>
      <c r="P120" s="6"/>
      <c r="Q120" s="6"/>
      <c r="R120" s="344"/>
    </row>
    <row r="121" spans="13:18">
      <c r="M121" s="6" t="s">
        <v>529</v>
      </c>
      <c r="N121" s="6" t="s">
        <v>530</v>
      </c>
      <c r="O121" s="6">
        <v>20.8</v>
      </c>
      <c r="P121" s="6">
        <v>0.22026000000000001</v>
      </c>
      <c r="Q121" s="6">
        <v>0.34268999999999999</v>
      </c>
      <c r="R121" s="344">
        <v>0.45091000000000003</v>
      </c>
    </row>
    <row r="122" spans="13:18">
      <c r="M122" s="6"/>
      <c r="N122" s="6" t="s">
        <v>531</v>
      </c>
      <c r="O122" s="6"/>
      <c r="P122" s="6"/>
      <c r="Q122" s="6"/>
      <c r="R122" s="344"/>
    </row>
    <row r="123" spans="13:18">
      <c r="M123" s="6"/>
      <c r="N123" s="6" t="s">
        <v>532</v>
      </c>
      <c r="O123" s="6"/>
      <c r="P123" s="6"/>
      <c r="Q123" s="6"/>
      <c r="R123" s="344"/>
    </row>
    <row r="124" spans="13:18">
      <c r="M124" s="6" t="s">
        <v>533</v>
      </c>
      <c r="N124" s="6" t="s">
        <v>534</v>
      </c>
      <c r="O124" s="6">
        <v>30.8</v>
      </c>
      <c r="P124" s="6">
        <v>1.189E-2</v>
      </c>
      <c r="Q124" s="6">
        <v>5.0220000000000001E-2</v>
      </c>
      <c r="R124" s="344">
        <v>3.7420000000000002E-2</v>
      </c>
    </row>
    <row r="125" spans="13:18">
      <c r="M125" s="6" t="s">
        <v>535</v>
      </c>
      <c r="N125" s="6" t="s">
        <v>536</v>
      </c>
      <c r="O125" s="6">
        <v>28.8</v>
      </c>
      <c r="P125" s="6">
        <v>1.1820000000000001E-2</v>
      </c>
      <c r="Q125" s="6">
        <v>1.8530000000000001E-2</v>
      </c>
      <c r="R125" s="344">
        <v>3.4840000000000003E-2</v>
      </c>
    </row>
    <row r="126" spans="13:18">
      <c r="M126" s="6"/>
      <c r="N126" s="6" t="s">
        <v>537</v>
      </c>
      <c r="O126" s="6"/>
      <c r="P126" s="6"/>
      <c r="Q126" s="6"/>
      <c r="R126" s="344"/>
    </row>
    <row r="127" spans="13:18">
      <c r="M127" s="6"/>
      <c r="N127" s="6" t="s">
        <v>538</v>
      </c>
      <c r="O127" s="6">
        <v>10.8</v>
      </c>
      <c r="P127" s="6"/>
      <c r="Q127" s="6"/>
      <c r="R127" s="344"/>
    </row>
    <row r="128" spans="13:18">
      <c r="M128" s="6"/>
      <c r="N128" s="6" t="s">
        <v>539</v>
      </c>
      <c r="O128" s="6"/>
      <c r="P128" s="6"/>
      <c r="Q128" s="6"/>
      <c r="R128" s="344"/>
    </row>
    <row r="129" spans="13:18">
      <c r="M129" s="6"/>
      <c r="N129" s="6" t="s">
        <v>540</v>
      </c>
      <c r="O129" s="6"/>
      <c r="P129" s="6"/>
      <c r="Q129" s="6"/>
      <c r="R129" s="344"/>
    </row>
    <row r="130" spans="13:18">
      <c r="M130" s="6"/>
      <c r="N130" s="6" t="s">
        <v>541</v>
      </c>
      <c r="O130" s="6"/>
      <c r="P130" s="6"/>
      <c r="Q130" s="6"/>
      <c r="R130" s="344"/>
    </row>
    <row r="131" spans="13:18">
      <c r="M131" s="6"/>
      <c r="N131" s="6" t="s">
        <v>542</v>
      </c>
      <c r="O131" s="6"/>
      <c r="P131" s="6"/>
      <c r="Q131" s="6"/>
      <c r="R131" s="344"/>
    </row>
    <row r="132" spans="13:18">
      <c r="M132" s="6"/>
      <c r="N132" s="6" t="s">
        <v>543</v>
      </c>
      <c r="O132" s="6"/>
      <c r="P132" s="6"/>
      <c r="Q132" s="6"/>
      <c r="R132" s="344"/>
    </row>
    <row r="133" spans="13:18">
      <c r="M133" s="6"/>
      <c r="N133" s="6" t="s">
        <v>544</v>
      </c>
      <c r="O133" s="6"/>
      <c r="P133" s="6"/>
      <c r="Q133" s="6"/>
      <c r="R133" s="344"/>
    </row>
    <row r="134" spans="13:18">
      <c r="M134" s="6"/>
      <c r="N134" s="6" t="s">
        <v>545</v>
      </c>
      <c r="O134" s="6"/>
      <c r="P134" s="6"/>
      <c r="Q134" s="6"/>
      <c r="R134" s="344"/>
    </row>
    <row r="135" spans="13:18">
      <c r="M135" s="6"/>
      <c r="N135" s="6" t="s">
        <v>546</v>
      </c>
      <c r="O135" s="359">
        <v>55</v>
      </c>
      <c r="P135" s="6"/>
      <c r="Q135" s="6"/>
      <c r="R135" s="344"/>
    </row>
    <row r="136" spans="13:18">
      <c r="M136" s="6"/>
      <c r="N136" s="6" t="s">
        <v>547</v>
      </c>
      <c r="O136" s="359">
        <v>7</v>
      </c>
      <c r="P136" s="6"/>
      <c r="Q136" s="6"/>
      <c r="R136" s="344"/>
    </row>
    <row r="137" spans="13:18">
      <c r="M137" s="6" t="s">
        <v>548</v>
      </c>
      <c r="N137" s="6" t="s">
        <v>549</v>
      </c>
      <c r="O137" s="6">
        <v>14.8</v>
      </c>
      <c r="P137" s="6">
        <v>0.22670000000000001</v>
      </c>
      <c r="Q137" s="6">
        <v>0.34749999999999998</v>
      </c>
      <c r="R137" s="344">
        <v>0.38095999999999997</v>
      </c>
    </row>
    <row r="138" spans="13:18">
      <c r="M138" s="6"/>
      <c r="N138" s="6" t="s">
        <v>550</v>
      </c>
      <c r="O138" s="6"/>
      <c r="P138" s="6"/>
      <c r="Q138" s="6"/>
      <c r="R138" s="344"/>
    </row>
    <row r="139" spans="13:18">
      <c r="M139" s="6"/>
      <c r="N139" s="6" t="s">
        <v>551</v>
      </c>
      <c r="O139" s="6">
        <v>19.600000000000001</v>
      </c>
      <c r="P139" s="6"/>
      <c r="Q139" s="6"/>
      <c r="R139" s="344"/>
    </row>
    <row r="140" spans="13:18">
      <c r="M140" s="6"/>
      <c r="N140" s="6" t="s">
        <v>552</v>
      </c>
      <c r="O140" s="6"/>
      <c r="P140" s="6"/>
      <c r="Q140" s="6"/>
      <c r="R140" s="344"/>
    </row>
    <row r="141" spans="13:18">
      <c r="M141" s="6"/>
      <c r="N141" s="6" t="s">
        <v>553</v>
      </c>
      <c r="O141" s="6"/>
      <c r="P141" s="6"/>
      <c r="Q141" s="6"/>
      <c r="R141" s="344"/>
    </row>
    <row r="142" spans="13:18">
      <c r="M142" s="6"/>
      <c r="N142" s="6" t="s">
        <v>554</v>
      </c>
      <c r="O142" s="6"/>
      <c r="P142" s="6"/>
      <c r="Q142" s="6"/>
      <c r="R142" s="344"/>
    </row>
    <row r="143" spans="13:18">
      <c r="M143" s="6"/>
      <c r="N143" s="6" t="s">
        <v>555</v>
      </c>
      <c r="O143" s="6"/>
      <c r="P143" s="6"/>
      <c r="Q143" s="6"/>
      <c r="R143" s="344"/>
    </row>
    <row r="144" spans="13:18">
      <c r="M144" s="6"/>
      <c r="N144" s="6" t="s">
        <v>556</v>
      </c>
      <c r="O144" s="6"/>
      <c r="P144" s="6"/>
      <c r="Q144" s="6"/>
      <c r="R144" s="344"/>
    </row>
    <row r="145" spans="13:18">
      <c r="M145" s="6"/>
      <c r="N145" s="6" t="s">
        <v>557</v>
      </c>
      <c r="O145" s="6"/>
      <c r="P145" s="6"/>
      <c r="Q145" s="6"/>
      <c r="R145" s="344"/>
    </row>
    <row r="146" spans="13:18">
      <c r="M146" s="6"/>
      <c r="N146" s="6" t="s">
        <v>558</v>
      </c>
      <c r="O146" s="6"/>
      <c r="P146" s="6"/>
      <c r="Q146" s="6"/>
      <c r="R146" s="344"/>
    </row>
  </sheetData>
  <sheetProtection algorithmName="SHA-512" hashValue="YxMlgzykh2738crf04ZAS9sZrQUIbhp2L/sKfYkx/XBksZpk244kv4JD8JXvmsxaRHlOR6UjSmkF2YqGqVT75A==" saltValue="wjvUooL350glbGw/Oxk1Tw==" spinCount="100000" sheet="1" formatCells="0" formatColumns="0" formatRows="0"/>
  <mergeCells count="4">
    <mergeCell ref="A2:D2"/>
    <mergeCell ref="G2:I2"/>
    <mergeCell ref="N2:R2"/>
    <mergeCell ref="A30:E39"/>
  </mergeCells>
  <hyperlinks>
    <hyperlink ref="J2" r:id="rId1" xr:uid="{00000000-0004-0000-0300-000000000000}"/>
  </hyperlinks>
  <pageMargins left="0.7" right="0.7" top="0.75" bottom="0.75" header="0.3" footer="0.3"/>
  <pageSetup orientation="portrait" horizontalDpi="1200" verticalDpi="120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A0EE5-B3E1-4548-A356-F9BE8D795B9E}">
  <sheetPr codeName="Sheet5"/>
  <dimension ref="A1:H54"/>
  <sheetViews>
    <sheetView workbookViewId="0"/>
  </sheetViews>
  <sheetFormatPr defaultColWidth="10.85546875" defaultRowHeight="14.1"/>
  <cols>
    <col min="1" max="1" width="30.7109375" style="321" customWidth="1"/>
    <col min="2" max="6" width="14.7109375" style="321" customWidth="1"/>
    <col min="7" max="7" width="12.7109375" style="321" customWidth="1"/>
    <col min="8" max="8" width="20" style="321" customWidth="1"/>
    <col min="9" max="16384" width="10.85546875" style="321"/>
  </cols>
  <sheetData>
    <row r="1" spans="1:8" ht="24.95" customHeight="1">
      <c r="A1" s="322" t="s">
        <v>559</v>
      </c>
      <c r="B1" s="323"/>
      <c r="C1" s="323"/>
      <c r="D1" s="323"/>
      <c r="E1" s="323"/>
      <c r="F1" s="323"/>
      <c r="G1" s="323"/>
      <c r="H1" s="323"/>
    </row>
    <row r="2" spans="1:8" ht="48" customHeight="1">
      <c r="A2" s="587" t="s">
        <v>560</v>
      </c>
      <c r="B2" s="587"/>
      <c r="C2" s="587"/>
      <c r="D2" s="587"/>
      <c r="E2" s="587"/>
      <c r="F2" s="587"/>
      <c r="G2" s="587"/>
      <c r="H2" s="587"/>
    </row>
    <row r="3" spans="1:8" ht="24" customHeight="1">
      <c r="A3" s="322" t="s">
        <v>561</v>
      </c>
      <c r="B3" s="323"/>
      <c r="C3" s="323"/>
      <c r="D3" s="323"/>
      <c r="E3" s="323"/>
      <c r="F3" s="323"/>
      <c r="G3" s="323"/>
      <c r="H3" s="323"/>
    </row>
    <row r="4" spans="1:8" s="211" customFormat="1" ht="12.95">
      <c r="A4" s="591" t="s">
        <v>562</v>
      </c>
      <c r="B4" s="591"/>
      <c r="C4" s="591"/>
      <c r="D4" s="591"/>
      <c r="E4" s="591"/>
      <c r="F4" s="23"/>
      <c r="G4" s="23"/>
      <c r="H4" s="23"/>
    </row>
    <row r="5" spans="1:8" s="211" customFormat="1" ht="12.95">
      <c r="A5" s="324" t="s">
        <v>563</v>
      </c>
      <c r="B5" s="93" t="s">
        <v>564</v>
      </c>
      <c r="C5" s="93" t="s">
        <v>565</v>
      </c>
      <c r="D5" s="93" t="s">
        <v>566</v>
      </c>
      <c r="E5" s="93" t="s">
        <v>567</v>
      </c>
      <c r="F5" s="23"/>
      <c r="G5" s="23"/>
      <c r="H5" s="23"/>
    </row>
    <row r="6" spans="1:8" s="211" customFormat="1" ht="12.95">
      <c r="A6" s="93" t="s">
        <v>568</v>
      </c>
      <c r="B6" s="588" t="s">
        <v>569</v>
      </c>
      <c r="C6" s="589"/>
      <c r="D6" s="589"/>
      <c r="E6" s="590"/>
      <c r="F6" s="23"/>
      <c r="G6" s="23"/>
      <c r="H6" s="23"/>
    </row>
    <row r="7" spans="1:8" s="211" customFormat="1" ht="12.95">
      <c r="A7" s="6" t="s">
        <v>570</v>
      </c>
      <c r="B7" s="325">
        <v>1</v>
      </c>
      <c r="C7" s="325">
        <v>238.8</v>
      </c>
      <c r="D7" s="325">
        <v>947.82</v>
      </c>
      <c r="E7" s="325">
        <v>0.27777800000000002</v>
      </c>
      <c r="F7" s="23"/>
      <c r="G7" s="23"/>
      <c r="H7" s="23"/>
    </row>
    <row r="8" spans="1:8" s="211" customFormat="1" ht="12.95">
      <c r="A8" s="6" t="s">
        <v>571</v>
      </c>
      <c r="B8" s="326">
        <v>4.1780000000000003E-3</v>
      </c>
      <c r="C8" s="326">
        <v>1</v>
      </c>
      <c r="D8" s="326">
        <v>3.9660000000000002</v>
      </c>
      <c r="E8" s="326">
        <v>1.163E-3</v>
      </c>
      <c r="F8" s="23"/>
      <c r="G8" s="23"/>
      <c r="H8" s="23"/>
    </row>
    <row r="9" spans="1:8" s="211" customFormat="1" ht="27.95">
      <c r="A9" s="327" t="s">
        <v>572</v>
      </c>
      <c r="B9" s="326">
        <v>1.0550526471270916E-3</v>
      </c>
      <c r="C9" s="326">
        <v>0.25214321734745332</v>
      </c>
      <c r="D9" s="326">
        <v>1</v>
      </c>
      <c r="E9" s="326">
        <v>2.9310000000000002E-4</v>
      </c>
      <c r="F9" s="23"/>
      <c r="G9" s="23"/>
      <c r="H9" s="23"/>
    </row>
    <row r="10" spans="1:8" s="211" customFormat="1" ht="12.95">
      <c r="A10" s="6" t="s">
        <v>573</v>
      </c>
      <c r="B10" s="326">
        <v>3.6</v>
      </c>
      <c r="C10" s="326">
        <v>859.8</v>
      </c>
      <c r="D10" s="326">
        <v>3412</v>
      </c>
      <c r="E10" s="326">
        <v>1</v>
      </c>
      <c r="F10" s="23"/>
      <c r="G10" s="23"/>
      <c r="H10" s="23"/>
    </row>
    <row r="11" spans="1:8" s="211" customFormat="1" ht="12.95">
      <c r="A11" s="23"/>
      <c r="B11" s="23"/>
      <c r="C11" s="23"/>
      <c r="D11" s="23"/>
      <c r="E11" s="23"/>
      <c r="F11" s="23"/>
      <c r="G11" s="23"/>
      <c r="H11" s="23"/>
    </row>
    <row r="12" spans="1:8" s="211" customFormat="1" ht="12.95">
      <c r="A12" s="23"/>
      <c r="B12" s="23"/>
      <c r="C12" s="23"/>
      <c r="D12" s="23"/>
      <c r="E12" s="23"/>
      <c r="F12" s="23"/>
      <c r="G12" s="23"/>
      <c r="H12" s="23"/>
    </row>
    <row r="13" spans="1:8" s="211" customFormat="1" ht="12.95">
      <c r="A13" s="593" t="s">
        <v>574</v>
      </c>
      <c r="B13" s="593"/>
      <c r="C13" s="593"/>
      <c r="D13" s="593"/>
      <c r="E13" s="593"/>
      <c r="F13" s="593"/>
      <c r="G13" s="23"/>
      <c r="H13" s="23"/>
    </row>
    <row r="14" spans="1:8" s="211" customFormat="1" ht="12.95">
      <c r="A14" s="324" t="s">
        <v>563</v>
      </c>
      <c r="B14" s="93" t="s">
        <v>375</v>
      </c>
      <c r="C14" s="93" t="s">
        <v>575</v>
      </c>
      <c r="D14" s="93" t="s">
        <v>576</v>
      </c>
      <c r="E14" s="93" t="s">
        <v>577</v>
      </c>
      <c r="F14" s="93" t="s">
        <v>578</v>
      </c>
      <c r="G14" s="23"/>
      <c r="H14" s="23"/>
    </row>
    <row r="15" spans="1:8" s="211" customFormat="1" ht="12.95">
      <c r="A15" s="93" t="s">
        <v>568</v>
      </c>
      <c r="B15" s="592" t="s">
        <v>569</v>
      </c>
      <c r="C15" s="592"/>
      <c r="D15" s="592"/>
      <c r="E15" s="592"/>
      <c r="F15" s="592"/>
      <c r="G15" s="23"/>
      <c r="H15" s="23"/>
    </row>
    <row r="16" spans="1:8" s="211" customFormat="1" ht="12.95">
      <c r="A16" s="6" t="s">
        <v>579</v>
      </c>
      <c r="B16" s="325">
        <v>1</v>
      </c>
      <c r="C16" s="325">
        <v>1E-3</v>
      </c>
      <c r="D16" s="325">
        <v>9.8419999999999996E-4</v>
      </c>
      <c r="E16" s="325">
        <v>1.1019999999999999E-3</v>
      </c>
      <c r="F16" s="325">
        <v>2.2050000000000001</v>
      </c>
      <c r="G16" s="23"/>
      <c r="H16" s="23"/>
    </row>
    <row r="17" spans="1:8" s="211" customFormat="1" ht="12.95">
      <c r="A17" s="6" t="s">
        <v>580</v>
      </c>
      <c r="B17" s="325">
        <v>1000</v>
      </c>
      <c r="C17" s="325">
        <v>1</v>
      </c>
      <c r="D17" s="325">
        <v>9.8419999999999994E-2</v>
      </c>
      <c r="E17" s="325">
        <v>1.1020000000000001</v>
      </c>
      <c r="F17" s="325">
        <v>2205</v>
      </c>
      <c r="G17" s="23"/>
      <c r="H17" s="23"/>
    </row>
    <row r="18" spans="1:8" s="211" customFormat="1">
      <c r="A18" s="327" t="s">
        <v>581</v>
      </c>
      <c r="B18" s="325">
        <v>1016.05</v>
      </c>
      <c r="C18" s="325">
        <v>1.0160499999999999</v>
      </c>
      <c r="D18" s="325">
        <v>1</v>
      </c>
      <c r="E18" s="325">
        <v>1120</v>
      </c>
      <c r="F18" s="325">
        <v>2240</v>
      </c>
      <c r="G18" s="23"/>
      <c r="H18" s="23"/>
    </row>
    <row r="19" spans="1:8" s="211" customFormat="1">
      <c r="A19" s="327" t="s">
        <v>582</v>
      </c>
      <c r="B19" s="325">
        <v>907.18499999999995</v>
      </c>
      <c r="C19" s="325">
        <v>0.90718500000000002</v>
      </c>
      <c r="D19" s="325">
        <v>0.89285700000000001</v>
      </c>
      <c r="E19" s="325">
        <v>1</v>
      </c>
      <c r="F19" s="325">
        <v>2000</v>
      </c>
      <c r="G19" s="23"/>
      <c r="H19" s="23"/>
    </row>
    <row r="20" spans="1:8" s="211" customFormat="1" ht="12.95">
      <c r="A20" s="6" t="s">
        <v>583</v>
      </c>
      <c r="B20" s="325">
        <v>0.453592</v>
      </c>
      <c r="C20" s="325">
        <v>4.53592E-4</v>
      </c>
      <c r="D20" s="325">
        <v>4.4640000000000001E-4</v>
      </c>
      <c r="E20" s="325">
        <v>5.0000000000000001E-4</v>
      </c>
      <c r="F20" s="325">
        <v>1</v>
      </c>
      <c r="G20" s="23"/>
      <c r="H20" s="23"/>
    </row>
    <row r="21" spans="1:8" s="211" customFormat="1" ht="12.95">
      <c r="A21" s="23"/>
      <c r="B21" s="23"/>
      <c r="C21" s="23"/>
      <c r="D21" s="23"/>
      <c r="E21" s="23"/>
      <c r="F21" s="23"/>
      <c r="G21" s="23"/>
      <c r="H21" s="23"/>
    </row>
    <row r="22" spans="1:8" s="211" customFormat="1" ht="12.95">
      <c r="A22" s="23"/>
      <c r="B22" s="23"/>
      <c r="C22" s="23"/>
      <c r="D22" s="23"/>
      <c r="E22" s="23"/>
      <c r="F22" s="23"/>
      <c r="G22" s="23"/>
      <c r="H22" s="23"/>
    </row>
    <row r="23" spans="1:8" s="211" customFormat="1" ht="12.95">
      <c r="A23" s="328" t="s">
        <v>584</v>
      </c>
      <c r="B23" s="328"/>
      <c r="C23" s="328"/>
      <c r="D23" s="328"/>
      <c r="E23" s="328"/>
      <c r="F23" s="328"/>
      <c r="G23" s="23"/>
      <c r="H23" s="23"/>
    </row>
    <row r="24" spans="1:8" s="211" customFormat="1" ht="12.95">
      <c r="A24" s="324" t="s">
        <v>563</v>
      </c>
      <c r="B24" s="93" t="s">
        <v>585</v>
      </c>
      <c r="C24" s="93" t="s">
        <v>586</v>
      </c>
      <c r="D24" s="93" t="s">
        <v>587</v>
      </c>
      <c r="E24" s="93" t="s">
        <v>588</v>
      </c>
      <c r="F24" s="93" t="s">
        <v>290</v>
      </c>
      <c r="G24" s="23"/>
      <c r="H24" s="23"/>
    </row>
    <row r="25" spans="1:8" s="211" customFormat="1" ht="12.95">
      <c r="A25" s="93" t="s">
        <v>568</v>
      </c>
      <c r="B25" s="588" t="s">
        <v>569</v>
      </c>
      <c r="C25" s="589"/>
      <c r="D25" s="589"/>
      <c r="E25" s="589"/>
      <c r="F25" s="590"/>
      <c r="G25" s="23"/>
      <c r="H25" s="23"/>
    </row>
    <row r="26" spans="1:8" s="211" customFormat="1" ht="12.95">
      <c r="A26" s="6" t="s">
        <v>589</v>
      </c>
      <c r="B26" s="325">
        <v>1</v>
      </c>
      <c r="C26" s="325">
        <v>0.8327</v>
      </c>
      <c r="D26" s="325">
        <v>0.13370000000000001</v>
      </c>
      <c r="E26" s="325">
        <v>3.7850000000000001</v>
      </c>
      <c r="F26" s="325">
        <v>3.7850000000000002E-3</v>
      </c>
      <c r="G26" s="23"/>
      <c r="H26" s="23"/>
    </row>
    <row r="27" spans="1:8" s="211" customFormat="1" ht="12.95">
      <c r="A27" s="6" t="s">
        <v>590</v>
      </c>
      <c r="B27" s="325">
        <v>1.20095</v>
      </c>
      <c r="C27" s="325">
        <v>1</v>
      </c>
      <c r="D27" s="325">
        <v>0.1605</v>
      </c>
      <c r="E27" s="325">
        <v>4.5460000000000003</v>
      </c>
      <c r="F27" s="325">
        <v>4.54609E-3</v>
      </c>
      <c r="G27" s="23"/>
      <c r="H27" s="23"/>
    </row>
    <row r="28" spans="1:8" s="211" customFormat="1">
      <c r="A28" s="327" t="s">
        <v>591</v>
      </c>
      <c r="B28" s="325">
        <v>7.4809999999999999</v>
      </c>
      <c r="C28" s="325">
        <v>6.2288399999999999</v>
      </c>
      <c r="D28" s="325">
        <v>1</v>
      </c>
      <c r="E28" s="325">
        <v>28.316800000000001</v>
      </c>
      <c r="F28" s="325">
        <v>2.83168E-2</v>
      </c>
      <c r="G28" s="23"/>
      <c r="H28" s="23"/>
    </row>
    <row r="29" spans="1:8" s="211" customFormat="1" ht="12.95">
      <c r="A29" s="6" t="s">
        <v>592</v>
      </c>
      <c r="B29" s="325">
        <v>0.26417200000000002</v>
      </c>
      <c r="C29" s="325">
        <v>0.219969</v>
      </c>
      <c r="D29" s="325">
        <v>3.5310000000000001E-2</v>
      </c>
      <c r="E29" s="325">
        <v>1</v>
      </c>
      <c r="F29" s="325">
        <v>1E-3</v>
      </c>
      <c r="G29" s="23"/>
      <c r="H29" s="23"/>
    </row>
    <row r="30" spans="1:8" s="211" customFormat="1" ht="15" customHeight="1">
      <c r="A30" s="6" t="s">
        <v>593</v>
      </c>
      <c r="B30" s="325">
        <v>264.17200000000003</v>
      </c>
      <c r="C30" s="325">
        <v>219.96899999999999</v>
      </c>
      <c r="D30" s="325">
        <v>35.314700000000002</v>
      </c>
      <c r="E30" s="325">
        <v>1000</v>
      </c>
      <c r="F30" s="325">
        <v>1</v>
      </c>
      <c r="G30" s="23"/>
      <c r="H30" s="23"/>
    </row>
    <row r="31" spans="1:8" s="211" customFormat="1" ht="14.1" customHeight="1">
      <c r="A31" s="23"/>
      <c r="B31" s="23"/>
      <c r="C31" s="23"/>
      <c r="D31" s="23"/>
      <c r="E31" s="23"/>
      <c r="F31" s="23"/>
      <c r="G31" s="23"/>
      <c r="H31" s="23"/>
    </row>
    <row r="32" spans="1:8" s="211" customFormat="1" ht="12.95">
      <c r="A32" s="23"/>
      <c r="B32" s="23"/>
      <c r="C32" s="23"/>
      <c r="D32" s="23"/>
      <c r="E32" s="23"/>
      <c r="F32" s="23"/>
      <c r="G32" s="23"/>
      <c r="H32" s="23"/>
    </row>
    <row r="33" spans="1:8" s="211" customFormat="1" ht="32.1" customHeight="1">
      <c r="A33" s="329" t="s">
        <v>594</v>
      </c>
      <c r="B33" s="330"/>
      <c r="C33" s="330"/>
      <c r="D33" s="330"/>
      <c r="E33" s="330"/>
      <c r="F33" s="330"/>
      <c r="G33" s="330"/>
      <c r="H33" s="330"/>
    </row>
    <row r="34" spans="1:8" s="211" customFormat="1" ht="75" customHeight="1">
      <c r="A34" s="587" t="s">
        <v>595</v>
      </c>
      <c r="B34" s="587"/>
      <c r="C34" s="587"/>
      <c r="D34" s="587"/>
      <c r="E34" s="587"/>
      <c r="F34" s="587"/>
      <c r="G34" s="23"/>
      <c r="H34" s="23"/>
    </row>
    <row r="35" spans="1:8" s="211" customFormat="1" ht="32.1" customHeight="1">
      <c r="A35" s="331" t="s">
        <v>596</v>
      </c>
      <c r="B35" s="23"/>
      <c r="C35" s="23"/>
      <c r="D35" s="23"/>
      <c r="E35" s="332" t="s">
        <v>597</v>
      </c>
      <c r="F35" s="23"/>
      <c r="G35" s="23"/>
      <c r="H35" s="23"/>
    </row>
    <row r="36" spans="1:8" s="211" customFormat="1" ht="12.95">
      <c r="A36" s="23"/>
      <c r="B36" s="23"/>
      <c r="C36" s="23"/>
      <c r="D36" s="23"/>
      <c r="E36" s="23"/>
      <c r="F36" s="23"/>
      <c r="G36" s="23"/>
      <c r="H36" s="23"/>
    </row>
    <row r="37" spans="1:8" s="211" customFormat="1" ht="12.95">
      <c r="A37" s="23" t="s">
        <v>598</v>
      </c>
      <c r="B37" s="23"/>
      <c r="C37" s="23"/>
      <c r="D37" s="23"/>
      <c r="E37" s="23"/>
      <c r="F37" s="23"/>
      <c r="G37" s="23"/>
      <c r="H37" s="23"/>
    </row>
    <row r="38" spans="1:8" s="211" customFormat="1" ht="42">
      <c r="A38" s="333" t="s">
        <v>266</v>
      </c>
      <c r="B38" s="333" t="s">
        <v>267</v>
      </c>
      <c r="C38" s="334" t="s">
        <v>268</v>
      </c>
      <c r="D38" s="333" t="s">
        <v>269</v>
      </c>
      <c r="E38" s="23"/>
      <c r="F38" s="23"/>
      <c r="G38" s="23"/>
      <c r="H38" s="23"/>
    </row>
    <row r="39" spans="1:8" s="211" customFormat="1" ht="12.95">
      <c r="A39" s="134" t="s">
        <v>599</v>
      </c>
      <c r="B39" s="134" t="s">
        <v>35</v>
      </c>
      <c r="C39" s="335" t="s">
        <v>600</v>
      </c>
      <c r="D39" s="134" t="s">
        <v>601</v>
      </c>
      <c r="E39" s="23"/>
      <c r="F39" s="23"/>
      <c r="G39" s="23"/>
      <c r="H39" s="23"/>
    </row>
    <row r="40" spans="1:8" s="211" customFormat="1" ht="12.95">
      <c r="A40" s="134" t="s">
        <v>602</v>
      </c>
      <c r="B40" s="134" t="s">
        <v>35</v>
      </c>
      <c r="C40" s="335">
        <v>0.36499999999999999</v>
      </c>
      <c r="D40" s="134" t="s">
        <v>601</v>
      </c>
      <c r="E40" s="23"/>
      <c r="F40" s="23"/>
      <c r="G40" s="23"/>
      <c r="H40" s="23"/>
    </row>
    <row r="41" spans="1:8" s="211" customFormat="1" ht="12.95">
      <c r="A41" s="134" t="s">
        <v>603</v>
      </c>
      <c r="B41" s="134" t="s">
        <v>35</v>
      </c>
      <c r="C41" s="335">
        <v>0.35599999999999998</v>
      </c>
      <c r="D41" s="134" t="s">
        <v>601</v>
      </c>
      <c r="E41" s="23"/>
      <c r="F41" s="23"/>
      <c r="G41" s="23"/>
      <c r="H41" s="23"/>
    </row>
    <row r="42" spans="1:8" s="211" customFormat="1" ht="12.95">
      <c r="A42" s="134" t="s">
        <v>604</v>
      </c>
      <c r="B42" s="134" t="s">
        <v>35</v>
      </c>
      <c r="C42" s="335">
        <v>0.34200000000000003</v>
      </c>
      <c r="D42" s="134" t="s">
        <v>601</v>
      </c>
      <c r="E42" s="23"/>
      <c r="F42" s="23"/>
      <c r="G42" s="23"/>
      <c r="H42" s="23"/>
    </row>
    <row r="43" spans="1:8" s="211" customFormat="1" ht="12.95">
      <c r="A43" s="134" t="s">
        <v>605</v>
      </c>
      <c r="B43" s="134" t="s">
        <v>35</v>
      </c>
      <c r="C43" s="335" t="s">
        <v>606</v>
      </c>
      <c r="D43" s="134" t="s">
        <v>601</v>
      </c>
      <c r="E43" s="23"/>
      <c r="F43" s="23"/>
      <c r="G43" s="23"/>
      <c r="H43" s="23"/>
    </row>
    <row r="44" spans="1:8" s="211" customFormat="1" ht="12.95">
      <c r="A44" s="134" t="s">
        <v>607</v>
      </c>
      <c r="B44" s="134" t="s">
        <v>35</v>
      </c>
      <c r="C44" s="335">
        <v>0.38800000000000001</v>
      </c>
      <c r="D44" s="134" t="s">
        <v>601</v>
      </c>
      <c r="E44" s="23"/>
      <c r="F44" s="23"/>
      <c r="G44" s="23"/>
      <c r="H44" s="23"/>
    </row>
    <row r="45" spans="1:8" s="211" customFormat="1" ht="27.95">
      <c r="A45" s="336" t="s">
        <v>608</v>
      </c>
      <c r="B45" s="134" t="s">
        <v>35</v>
      </c>
      <c r="C45" s="335">
        <v>0.33700000000000002</v>
      </c>
      <c r="D45" s="134" t="s">
        <v>601</v>
      </c>
      <c r="E45" s="23"/>
      <c r="F45" s="23"/>
      <c r="G45" s="23"/>
      <c r="H45" s="23"/>
    </row>
    <row r="46" spans="1:8" s="211" customFormat="1" ht="12.95">
      <c r="A46" s="23"/>
      <c r="B46" s="23"/>
      <c r="C46" s="23"/>
      <c r="D46" s="23"/>
      <c r="E46" s="23"/>
      <c r="F46" s="23"/>
      <c r="G46" s="23"/>
      <c r="H46" s="23"/>
    </row>
    <row r="47" spans="1:8" s="211" customFormat="1" ht="14.1" customHeight="1">
      <c r="A47" s="23" t="s">
        <v>609</v>
      </c>
      <c r="B47" s="23"/>
      <c r="C47" s="23"/>
      <c r="D47" s="23"/>
      <c r="E47" s="23"/>
      <c r="F47" s="23"/>
      <c r="G47" s="23"/>
      <c r="H47" s="23"/>
    </row>
    <row r="48" spans="1:8" s="211" customFormat="1" ht="42">
      <c r="A48" s="333" t="s">
        <v>266</v>
      </c>
      <c r="B48" s="333" t="s">
        <v>267</v>
      </c>
      <c r="C48" s="334" t="s">
        <v>268</v>
      </c>
      <c r="D48" s="333" t="s">
        <v>269</v>
      </c>
      <c r="E48" s="23"/>
      <c r="F48" s="23"/>
      <c r="G48" s="23"/>
      <c r="H48" s="23"/>
    </row>
    <row r="49" spans="1:8" s="211" customFormat="1" ht="12.95">
      <c r="A49" s="134" t="s">
        <v>610</v>
      </c>
      <c r="B49" s="134" t="s">
        <v>35</v>
      </c>
      <c r="C49" s="335">
        <v>0.25600000000000001</v>
      </c>
      <c r="D49" s="134" t="s">
        <v>601</v>
      </c>
      <c r="E49" s="23"/>
      <c r="F49" s="23"/>
      <c r="G49" s="23"/>
      <c r="H49" s="23"/>
    </row>
    <row r="50" spans="1:8" s="211" customFormat="1" ht="12.95">
      <c r="A50" s="134" t="s">
        <v>611</v>
      </c>
      <c r="B50" s="134" t="s">
        <v>35</v>
      </c>
      <c r="C50" s="335">
        <v>0.25600000000000001</v>
      </c>
      <c r="D50" s="134" t="s">
        <v>601</v>
      </c>
      <c r="E50" s="23"/>
      <c r="F50" s="23"/>
      <c r="G50" s="23"/>
      <c r="H50" s="23"/>
    </row>
    <row r="51" spans="1:8" s="211" customFormat="1" ht="12.95">
      <c r="A51" s="134" t="s">
        <v>612</v>
      </c>
      <c r="B51" s="134" t="s">
        <v>35</v>
      </c>
      <c r="C51" s="335" t="s">
        <v>613</v>
      </c>
      <c r="D51" s="134" t="s">
        <v>601</v>
      </c>
      <c r="E51" s="23"/>
      <c r="F51" s="23"/>
      <c r="G51" s="23"/>
      <c r="H51" s="23"/>
    </row>
    <row r="52" spans="1:8" s="211" customFormat="1" ht="12.95">
      <c r="A52" s="134" t="s">
        <v>614</v>
      </c>
      <c r="B52" s="134" t="s">
        <v>35</v>
      </c>
      <c r="C52" s="335">
        <v>0.36699999999999999</v>
      </c>
      <c r="D52" s="134" t="s">
        <v>601</v>
      </c>
      <c r="E52" s="23"/>
      <c r="F52" s="23"/>
      <c r="G52" s="23"/>
      <c r="H52" s="23"/>
    </row>
    <row r="53" spans="1:8" s="211" customFormat="1" ht="12.95">
      <c r="A53" s="23"/>
      <c r="B53" s="23"/>
      <c r="C53" s="23"/>
      <c r="D53" s="23"/>
      <c r="E53" s="23"/>
      <c r="F53" s="23"/>
      <c r="G53" s="23"/>
      <c r="H53" s="23"/>
    </row>
    <row r="54" spans="1:8" s="211" customFormat="1" ht="12.95"/>
  </sheetData>
  <sheetProtection algorithmName="SHA-512" hashValue="FgtBSyzg61ZT1TqATr9zg+ULwEQvdtRzPUiZ29tErGx4b8+iNwhpFWFHF0uqil+ot1vEbEDYed8zefUXWOnzow==" saltValue="cUeXbgjOxXevn5cftXEX3g==" spinCount="100000" sheet="1" objects="1" scenarios="1" formatCells="0" formatColumns="0" formatRows="0"/>
  <mergeCells count="7">
    <mergeCell ref="A34:F34"/>
    <mergeCell ref="A2:H2"/>
    <mergeCell ref="B6:E6"/>
    <mergeCell ref="B25:F25"/>
    <mergeCell ref="A4:E4"/>
    <mergeCell ref="B15:F15"/>
    <mergeCell ref="A13:F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7FB6-CD86-364D-AC91-7981555D8EDD}">
  <dimension ref="A1:E12"/>
  <sheetViews>
    <sheetView workbookViewId="0"/>
  </sheetViews>
  <sheetFormatPr defaultColWidth="11.42578125" defaultRowHeight="15"/>
  <cols>
    <col min="1" max="1" width="14.140625" customWidth="1"/>
    <col min="2" max="2" width="13.42578125" customWidth="1"/>
    <col min="3" max="3" width="19.42578125" customWidth="1"/>
    <col min="4" max="4" width="47.85546875" customWidth="1"/>
    <col min="5" max="5" width="19.28515625" customWidth="1"/>
  </cols>
  <sheetData>
    <row r="1" spans="1:5" ht="15.95">
      <c r="A1" s="339" t="s">
        <v>615</v>
      </c>
      <c r="B1" s="339" t="s">
        <v>616</v>
      </c>
      <c r="C1" s="339" t="s">
        <v>617</v>
      </c>
      <c r="D1" s="339" t="s">
        <v>618</v>
      </c>
      <c r="E1" s="339" t="s">
        <v>619</v>
      </c>
    </row>
    <row r="2" spans="1:5" ht="129.94999999999999" customHeight="1">
      <c r="A2" s="337">
        <v>44683</v>
      </c>
      <c r="B2" t="s">
        <v>620</v>
      </c>
      <c r="C2" s="338" t="s">
        <v>621</v>
      </c>
      <c r="D2" s="338" t="s">
        <v>622</v>
      </c>
      <c r="E2" t="s">
        <v>623</v>
      </c>
    </row>
    <row r="3" spans="1:5" ht="83.1" customHeight="1">
      <c r="A3" s="337">
        <v>44851</v>
      </c>
      <c r="B3" t="s">
        <v>624</v>
      </c>
      <c r="C3" t="s">
        <v>625</v>
      </c>
      <c r="D3" s="338" t="s">
        <v>626</v>
      </c>
      <c r="E3" t="s">
        <v>623</v>
      </c>
    </row>
    <row r="4" spans="1:5" ht="48">
      <c r="A4" s="337">
        <v>44851</v>
      </c>
      <c r="B4" t="s">
        <v>624</v>
      </c>
      <c r="C4" t="s">
        <v>627</v>
      </c>
      <c r="D4" s="338" t="s">
        <v>628</v>
      </c>
      <c r="E4" t="s">
        <v>623</v>
      </c>
    </row>
    <row r="5" spans="1:5" ht="48">
      <c r="A5" s="337">
        <v>44851</v>
      </c>
      <c r="B5" t="s">
        <v>620</v>
      </c>
      <c r="D5" s="338" t="s">
        <v>629</v>
      </c>
      <c r="E5" t="s">
        <v>623</v>
      </c>
    </row>
    <row r="6" spans="1:5" ht="32.1">
      <c r="A6" s="337">
        <v>44851</v>
      </c>
      <c r="B6" t="s">
        <v>620</v>
      </c>
      <c r="D6" s="338" t="s">
        <v>630</v>
      </c>
      <c r="E6" t="s">
        <v>623</v>
      </c>
    </row>
    <row r="7" spans="1:5" ht="15.95">
      <c r="A7" s="337">
        <v>44851</v>
      </c>
      <c r="B7" t="s">
        <v>624</v>
      </c>
      <c r="C7" t="s">
        <v>631</v>
      </c>
      <c r="D7" s="338" t="s">
        <v>632</v>
      </c>
      <c r="E7" t="s">
        <v>623</v>
      </c>
    </row>
    <row r="8" spans="1:5" ht="15.95">
      <c r="A8" s="337">
        <v>44851</v>
      </c>
      <c r="B8" t="s">
        <v>624</v>
      </c>
      <c r="C8" t="s">
        <v>633</v>
      </c>
      <c r="D8" s="338" t="s">
        <v>634</v>
      </c>
      <c r="E8" t="s">
        <v>623</v>
      </c>
    </row>
    <row r="9" spans="1:5" ht="96">
      <c r="A9" s="337">
        <v>44851</v>
      </c>
      <c r="B9" t="s">
        <v>624</v>
      </c>
      <c r="C9" t="s">
        <v>635</v>
      </c>
      <c r="D9" s="338" t="s">
        <v>636</v>
      </c>
      <c r="E9" t="s">
        <v>623</v>
      </c>
    </row>
    <row r="10" spans="1:5" ht="15.95">
      <c r="A10" s="337">
        <v>44851</v>
      </c>
      <c r="B10" t="s">
        <v>624</v>
      </c>
      <c r="C10" t="s">
        <v>637</v>
      </c>
      <c r="D10" s="338" t="s">
        <v>638</v>
      </c>
      <c r="E10" t="s">
        <v>623</v>
      </c>
    </row>
    <row r="11" spans="1:5" ht="15.95">
      <c r="A11" s="337">
        <v>44851</v>
      </c>
      <c r="B11" t="s">
        <v>624</v>
      </c>
      <c r="C11" t="s">
        <v>639</v>
      </c>
      <c r="D11" s="338" t="s">
        <v>640</v>
      </c>
      <c r="E11" t="s">
        <v>623</v>
      </c>
    </row>
    <row r="12" spans="1:5" ht="32.1">
      <c r="D12" s="338" t="s">
        <v>641</v>
      </c>
    </row>
  </sheetData>
  <sheetProtection algorithmName="SHA-512" hashValue="CyGp4ugRSYA9ykTX6H/SsjrONZ38nD6riLQBYTW21GAne5Qf+JByW7D1hO8WfdMATLm6+yvb4o5QrPd3vuazCA==" saltValue="zwX1mKEmFnvNkMqzgy16F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C2CPII</dc:creator>
  <cp:keywords/>
  <dc:description/>
  <cp:lastModifiedBy>Riley Johnson</cp:lastModifiedBy>
  <cp:revision/>
  <dcterms:created xsi:type="dcterms:W3CDTF">2012-08-23T20:25:26Z</dcterms:created>
  <dcterms:modified xsi:type="dcterms:W3CDTF">2022-10-19T18:17:27Z</dcterms:modified>
  <cp:category/>
  <cp:contentStatus/>
</cp:coreProperties>
</file>